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definedNames>
    <definedName name="_xlnm.Print_Area" localSheetId="0">Sheet2!$A$1:$L$76</definedName>
  </definedNames>
  <calcPr calcId="144525"/>
</workbook>
</file>

<file path=xl/sharedStrings.xml><?xml version="1.0" encoding="utf-8"?>
<sst xmlns="http://schemas.openxmlformats.org/spreadsheetml/2006/main" count="260" uniqueCount="129">
  <si>
    <t>建筑工程预算表</t>
  </si>
  <si>
    <t>单位:元</t>
  </si>
  <si>
    <t>编号</t>
  </si>
  <si>
    <t>项目名称</t>
  </si>
  <si>
    <t>单位</t>
  </si>
  <si>
    <t>数量</t>
  </si>
  <si>
    <t>单价</t>
  </si>
  <si>
    <t>合价</t>
  </si>
  <si>
    <t>审核数量</t>
  </si>
  <si>
    <t>审核单价</t>
  </si>
  <si>
    <t>审核合价</t>
  </si>
  <si>
    <t>核增</t>
  </si>
  <si>
    <t>核减</t>
  </si>
  <si>
    <t>一</t>
  </si>
  <si>
    <t>建筑工程</t>
  </si>
  <si>
    <t>大坝提升工程</t>
  </si>
  <si>
    <t>元</t>
  </si>
  <si>
    <t>原坝顶地砖拆除</t>
  </si>
  <si>
    <r>
      <rPr>
        <sz val="12"/>
        <rFont val="Times New Roman"/>
        <charset val="0"/>
      </rPr>
      <t>m</t>
    </r>
    <r>
      <rPr>
        <vertAlign val="superscript"/>
        <sz val="12"/>
        <rFont val="Times New Roman"/>
        <charset val="0"/>
      </rPr>
      <t>2</t>
    </r>
  </si>
  <si>
    <t>原坝顶地砖拆除，外运3km</t>
  </si>
  <si>
    <t>混凝土层凿除 人工搬运至路边，外运5km</t>
  </si>
  <si>
    <r>
      <rPr>
        <sz val="12"/>
        <rFont val="Times New Roman"/>
        <charset val="0"/>
      </rPr>
      <t>m</t>
    </r>
    <r>
      <rPr>
        <vertAlign val="superscript"/>
        <sz val="12"/>
        <rFont val="Times New Roman"/>
        <charset val="0"/>
      </rPr>
      <t>3</t>
    </r>
  </si>
  <si>
    <t>混凝土层凿除 ，外运3km</t>
  </si>
  <si>
    <t>砼道路砖铺设（含2cm砂浆垫层)</t>
  </si>
  <si>
    <t>坝顶透水砖路面（含2cm砂浆垫层)</t>
  </si>
  <si>
    <t>厚150C20砼垫层（坝顶）</t>
  </si>
  <si>
    <t>100mm碎石垫层（坝顶）</t>
  </si>
  <si>
    <t>土方开挖（挑运40m，外运3km）</t>
  </si>
  <si>
    <r>
      <rPr>
        <sz val="12"/>
        <rFont val="Times New Roman"/>
        <charset val="134"/>
      </rPr>
      <t>m</t>
    </r>
    <r>
      <rPr>
        <vertAlign val="superscript"/>
        <sz val="12"/>
        <rFont val="Times New Roman"/>
        <charset val="134"/>
      </rPr>
      <t>3</t>
    </r>
  </si>
  <si>
    <t>施工材料运输（双胶轮车50m，人工抬运50m）</t>
  </si>
  <si>
    <t>300厚干砌块石护坡</t>
  </si>
  <si>
    <t>100厚碎石垫层（坝坡）</t>
  </si>
  <si>
    <t>C20砼坝肩肋条</t>
  </si>
  <si>
    <t>M7.5浆砌块石大方脚</t>
  </si>
  <si>
    <t>150厚C20砼压顶</t>
  </si>
  <si>
    <t>抛石回填</t>
  </si>
  <si>
    <t>C20砼台阶及肋条</t>
  </si>
  <si>
    <t>C20砼观测渠</t>
  </si>
  <si>
    <t>火烧花岗岩贴面</t>
  </si>
  <si>
    <t>C20砼排水沟</t>
  </si>
  <si>
    <t>C15砼垫层</t>
  </si>
  <si>
    <t>三角量水堰</t>
  </si>
  <si>
    <t>项</t>
  </si>
  <si>
    <t>伸缩缝</t>
  </si>
  <si>
    <t>m2</t>
  </si>
  <si>
    <t>溢洪道提升工程</t>
  </si>
  <si>
    <t>溢洪道溢流堰、底板拆除，人工搬运至路边，外运5km</t>
  </si>
  <si>
    <t>溢洪道溢流堰、底板拆除，外运3km</t>
  </si>
  <si>
    <t>C25砼堰</t>
  </si>
  <si>
    <t>C20砼溢洪道底板衬砌</t>
  </si>
  <si>
    <t>φ50mm系统排水孔</t>
  </si>
  <si>
    <t>个</t>
  </si>
  <si>
    <t>帷幕灌浆土体钻孔（含检查孔）</t>
  </si>
  <si>
    <t>m</t>
  </si>
  <si>
    <t>帷幕灌浆土体封孔（含检查孔）</t>
  </si>
  <si>
    <t>坝基钻帷幕灌浆孔自下而上 岩石级别X级（含检查孔）</t>
  </si>
  <si>
    <t>坝基帷幕灌浆 自下而上灌浆法 透水率8-10Lu（含检查孔）</t>
  </si>
  <si>
    <t>钻机钻检查孔</t>
  </si>
  <si>
    <t>涵管处理工程</t>
  </si>
  <si>
    <t>土方开挖</t>
  </si>
  <si>
    <t>土方回填</t>
  </si>
  <si>
    <t>原启闭机拆除</t>
  </si>
  <si>
    <t>原倒虹管拆除（含坝面修复）</t>
  </si>
  <si>
    <t>粘土回填</t>
  </si>
  <si>
    <t>石方开挖</t>
  </si>
  <si>
    <t>C20砼进水池、镇墩</t>
  </si>
  <si>
    <t>C25砼阀门井及盖板</t>
  </si>
  <si>
    <t>C25砼出水池</t>
  </si>
  <si>
    <t>C20砼支墩</t>
  </si>
  <si>
    <t>C20砼基础（拉杆）</t>
  </si>
  <si>
    <t>C20砼台阶</t>
  </si>
  <si>
    <t>管周回填灌浆（预埋灌浆管）</t>
  </si>
  <si>
    <t>非开挖铺管钻机钻孔直径700（含管材PE100 dn500 1.0MPa）</t>
  </si>
  <si>
    <t>拦污栅</t>
  </si>
  <si>
    <t>DN500法兰闸阀</t>
  </si>
  <si>
    <t>只</t>
  </si>
  <si>
    <t>DNDN500铸铁闸门(含配件、拉杆、抱箍、启闭机等)购安</t>
  </si>
  <si>
    <t>套</t>
  </si>
  <si>
    <t>钢筋制安</t>
  </si>
  <si>
    <t>t</t>
  </si>
  <si>
    <t>监测设施</t>
  </si>
  <si>
    <t>水准点</t>
  </si>
  <si>
    <t>测压管（钻孔 线路 套管）</t>
  </si>
  <si>
    <t>普通水堰计</t>
  </si>
  <si>
    <t>水库标准化建设</t>
  </si>
  <si>
    <t>其他建筑工程</t>
  </si>
  <si>
    <t>工程简介及警示标牌</t>
  </si>
  <si>
    <t>启闭机房、管理房</t>
  </si>
  <si>
    <r>
      <rPr>
        <sz val="12"/>
        <rFont val="Times New Roman"/>
        <charset val="134"/>
      </rPr>
      <t>m</t>
    </r>
    <r>
      <rPr>
        <vertAlign val="superscript"/>
        <sz val="12"/>
        <rFont val="Times New Roman"/>
        <charset val="134"/>
      </rPr>
      <t>2</t>
    </r>
  </si>
  <si>
    <t>水位观测设施</t>
  </si>
  <si>
    <t>根</t>
  </si>
  <si>
    <t>责任碑</t>
  </si>
  <si>
    <t>界桩</t>
  </si>
  <si>
    <t>启闭机房图标（东阳水务及logo）</t>
  </si>
  <si>
    <t>库区清淤（3.5km运距）</t>
  </si>
  <si>
    <t>库区清淤（3km运距）</t>
  </si>
  <si>
    <t>二</t>
  </si>
  <si>
    <t>临时工程</t>
  </si>
  <si>
    <r>
      <rPr>
        <sz val="12"/>
        <rFont val="宋体"/>
        <charset val="134"/>
        <scheme val="minor"/>
      </rPr>
      <t>临时工程（按建筑工程的3%</t>
    </r>
    <r>
      <rPr>
        <sz val="12"/>
        <rFont val="宋体"/>
        <charset val="134"/>
      </rPr>
      <t>）</t>
    </r>
  </si>
  <si>
    <r>
      <rPr>
        <sz val="12"/>
        <rFont val="宋体"/>
        <charset val="134"/>
        <scheme val="minor"/>
      </rPr>
      <t>临时工程（按建筑工程的1.5%</t>
    </r>
    <r>
      <rPr>
        <sz val="12"/>
        <rFont val="宋体"/>
        <charset val="134"/>
      </rPr>
      <t>）</t>
    </r>
  </si>
  <si>
    <t>三</t>
  </si>
  <si>
    <t>安全施工费</t>
  </si>
  <si>
    <r>
      <rPr>
        <sz val="12"/>
        <rFont val="宋体"/>
        <charset val="134"/>
        <scheme val="minor"/>
      </rPr>
      <t>安全施工费（按建安量的1.6%</t>
    </r>
    <r>
      <rPr>
        <sz val="12"/>
        <rFont val="宋体"/>
        <charset val="134"/>
      </rPr>
      <t>）</t>
    </r>
  </si>
  <si>
    <t>四</t>
  </si>
  <si>
    <t>保险费用</t>
  </si>
  <si>
    <r>
      <rPr>
        <sz val="12"/>
        <rFont val="宋体"/>
        <charset val="134"/>
        <scheme val="minor"/>
      </rPr>
      <t>保险费用（按建安量的0.475%</t>
    </r>
    <r>
      <rPr>
        <sz val="12"/>
        <rFont val="宋体"/>
        <charset val="134"/>
      </rPr>
      <t>）</t>
    </r>
  </si>
  <si>
    <t>五</t>
  </si>
  <si>
    <t>合计</t>
  </si>
  <si>
    <t>信息价</t>
  </si>
  <si>
    <t>系数</t>
  </si>
  <si>
    <t>价格</t>
  </si>
  <si>
    <t>碎石</t>
  </si>
  <si>
    <t>砂</t>
  </si>
  <si>
    <t>块石</t>
  </si>
  <si>
    <t>出水池</t>
  </si>
  <si>
    <t>砼堰</t>
  </si>
  <si>
    <t>底板</t>
  </si>
  <si>
    <t>支墩</t>
  </si>
  <si>
    <t>C20基础</t>
  </si>
  <si>
    <t>外包</t>
  </si>
  <si>
    <t>钢筋</t>
  </si>
  <si>
    <t>垫层</t>
  </si>
  <si>
    <t>台阶</t>
  </si>
  <si>
    <t>坝顶高程</t>
  </si>
  <si>
    <t>高差</t>
  </si>
  <si>
    <t>台阶高度</t>
  </si>
  <si>
    <t>台阶个数</t>
  </si>
  <si>
    <t>砼肋条</t>
  </si>
  <si>
    <t>元台阶肋条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</si>
</sst>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%"/>
    <numFmt numFmtId="178" formatCode="0.0_ "/>
    <numFmt numFmtId="179" formatCode="0.00_);[Red]\(0.00\)"/>
    <numFmt numFmtId="180" formatCode="0_ "/>
    <numFmt numFmtId="181" formatCode="#,##0.0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Times New Roman"/>
      <charset val="0"/>
    </font>
    <font>
      <sz val="12"/>
      <name val="Times New Roman"/>
      <charset val="134"/>
    </font>
    <font>
      <sz val="12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12"/>
      <name val="Times New Roman"/>
      <charset val="0"/>
    </font>
    <font>
      <vertAlign val="superscript"/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5" fillId="13" borderId="16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" fillId="0" borderId="0"/>
  </cellStyleXfs>
  <cellXfs count="61">
    <xf numFmtId="0" fontId="0" fillId="0" borderId="0" xfId="0">
      <alignment vertic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176" fontId="2" fillId="0" borderId="1" xfId="0" applyNumberFormat="1" applyFont="1" applyFill="1" applyBorder="1" applyAlignment="1"/>
    <xf numFmtId="176" fontId="1" fillId="0" borderId="1" xfId="0" applyNumberFormat="1" applyFont="1" applyFill="1" applyBorder="1" applyAlignment="1"/>
    <xf numFmtId="178" fontId="1" fillId="0" borderId="1" xfId="0" applyNumberFormat="1" applyFont="1" applyFill="1" applyBorder="1" applyAlignment="1"/>
    <xf numFmtId="17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/>
    </xf>
    <xf numFmtId="181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 wrapText="1"/>
    </xf>
    <xf numFmtId="179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84"/>
  <sheetViews>
    <sheetView tabSelected="1" view="pageBreakPreview" zoomScaleNormal="115" topLeftCell="A19" workbookViewId="0">
      <selection activeCell="H46" sqref="H46"/>
    </sheetView>
  </sheetViews>
  <sheetFormatPr defaultColWidth="9" defaultRowHeight="20.1" customHeight="1"/>
  <cols>
    <col min="1" max="1" width="6.88333333333333" style="12" customWidth="1"/>
    <col min="2" max="2" width="36.325" style="10" customWidth="1"/>
    <col min="3" max="3" width="7.5" style="10" customWidth="1"/>
    <col min="4" max="4" width="13.1333333333333" style="10" customWidth="1"/>
    <col min="5" max="5" width="10.7583333333333" style="10" customWidth="1"/>
    <col min="6" max="6" width="13.2583333333333" style="13" customWidth="1"/>
    <col min="7" max="7" width="30.0916666666667" style="10" customWidth="1"/>
    <col min="8" max="8" width="13.875" style="10" customWidth="1"/>
    <col min="9" max="10" width="13.2583333333333" style="13" customWidth="1"/>
    <col min="11" max="11" width="10.7583333333333" style="10" customWidth="1"/>
    <col min="12" max="12" width="13.2583333333333" style="13" customWidth="1"/>
    <col min="13" max="13" width="13.75" style="10"/>
    <col min="14" max="14" width="14.325" style="9" customWidth="1"/>
    <col min="15" max="17" width="6.5" style="10" customWidth="1"/>
    <col min="18" max="18" width="8.5" style="10" customWidth="1"/>
    <col min="19" max="20" width="5.88333333333333" style="10" customWidth="1"/>
    <col min="21" max="21" width="11.8833333333333" style="10" customWidth="1"/>
    <col min="22" max="32" width="5.88333333333333" style="10" customWidth="1"/>
    <col min="33" max="33" width="10.6333333333333" style="10"/>
    <col min="34" max="16384" width="9" style="10"/>
  </cols>
  <sheetData>
    <row r="1" ht="21" customHeight="1" spans="1:1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40"/>
    </row>
    <row r="2" customHeight="1" spans="1:12">
      <c r="A2" s="16"/>
      <c r="B2" s="17"/>
      <c r="C2" s="17"/>
      <c r="D2" s="17"/>
      <c r="E2" s="17"/>
      <c r="F2" s="18"/>
      <c r="G2" s="17"/>
      <c r="H2" s="17"/>
      <c r="I2" s="17"/>
      <c r="J2" s="18"/>
      <c r="K2" s="41"/>
      <c r="L2" s="42" t="s">
        <v>1</v>
      </c>
    </row>
    <row r="3" customHeight="1" spans="1:2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20" t="s">
        <v>7</v>
      </c>
      <c r="G3" s="19" t="s">
        <v>3</v>
      </c>
      <c r="H3" s="19" t="s">
        <v>8</v>
      </c>
      <c r="I3" s="19" t="s">
        <v>9</v>
      </c>
      <c r="J3" s="20" t="s">
        <v>10</v>
      </c>
      <c r="K3" s="19" t="s">
        <v>11</v>
      </c>
      <c r="L3" s="20" t="s">
        <v>12</v>
      </c>
      <c r="S3" s="12">
        <v>54</v>
      </c>
      <c r="T3" s="12">
        <v>6.5</v>
      </c>
      <c r="U3" s="12">
        <v>0.15</v>
      </c>
    </row>
    <row r="4" customHeight="1" spans="1:25">
      <c r="A4" s="21" t="s">
        <v>13</v>
      </c>
      <c r="B4" s="21" t="s">
        <v>14</v>
      </c>
      <c r="C4" s="21"/>
      <c r="D4" s="21"/>
      <c r="E4" s="21"/>
      <c r="F4" s="22">
        <f>F5+F26+F37+F62+F57</f>
        <v>1768434.0115</v>
      </c>
      <c r="G4" s="21" t="s">
        <v>14</v>
      </c>
      <c r="H4" s="21"/>
      <c r="I4" s="21"/>
      <c r="J4" s="22">
        <f>J5+J26+J37+J62+J57</f>
        <v>1354603.7636</v>
      </c>
      <c r="K4" s="21"/>
      <c r="L4" s="22"/>
      <c r="W4" s="10">
        <v>0</v>
      </c>
      <c r="X4" s="10">
        <v>3</v>
      </c>
      <c r="Y4" s="10">
        <v>6</v>
      </c>
    </row>
    <row r="5" customHeight="1" spans="1:30">
      <c r="A5" s="21">
        <v>1</v>
      </c>
      <c r="B5" s="21" t="s">
        <v>15</v>
      </c>
      <c r="C5" s="21" t="s">
        <v>16</v>
      </c>
      <c r="D5" s="21"/>
      <c r="E5" s="21"/>
      <c r="F5" s="23">
        <f>SUM(F6:F24)</f>
        <v>367797.7496</v>
      </c>
      <c r="G5" s="21" t="s">
        <v>15</v>
      </c>
      <c r="H5" s="21"/>
      <c r="I5" s="21"/>
      <c r="J5" s="23">
        <f>SUM(J6:J24)</f>
        <v>340439.7467</v>
      </c>
      <c r="K5" s="21"/>
      <c r="L5" s="23"/>
      <c r="W5" s="10">
        <v>11.5</v>
      </c>
      <c r="X5" s="10">
        <v>5.1</v>
      </c>
      <c r="Y5" s="10">
        <v>9.4</v>
      </c>
      <c r="Z5" s="10">
        <f>AVERAGE(X4:X5)</f>
        <v>4.05</v>
      </c>
      <c r="AA5" s="10">
        <f>AVERAGE(Y4:Y5)</f>
        <v>7.7</v>
      </c>
      <c r="AB5" s="10">
        <f>W5-W4</f>
        <v>11.5</v>
      </c>
      <c r="AC5" s="10">
        <f>Z5*AB5</f>
        <v>46.575</v>
      </c>
      <c r="AD5" s="10">
        <f>AA5*AB5</f>
        <v>88.55</v>
      </c>
    </row>
    <row r="6" customHeight="1" spans="1:16">
      <c r="A6" s="19">
        <v>1.1</v>
      </c>
      <c r="B6" s="19" t="s">
        <v>17</v>
      </c>
      <c r="C6" s="24" t="s">
        <v>18</v>
      </c>
      <c r="D6" s="19">
        <v>275.5</v>
      </c>
      <c r="E6" s="19">
        <v>3.26</v>
      </c>
      <c r="F6" s="25">
        <f>D6*E6</f>
        <v>898.13</v>
      </c>
      <c r="G6" s="19" t="s">
        <v>19</v>
      </c>
      <c r="H6" s="19">
        <v>275.5</v>
      </c>
      <c r="I6" s="19">
        <v>5.99</v>
      </c>
      <c r="J6" s="25">
        <f t="shared" ref="J6:J25" si="0">H6*I6</f>
        <v>1650.245</v>
      </c>
      <c r="K6" s="25">
        <f>J6-F6</f>
        <v>752.115</v>
      </c>
      <c r="L6" s="43"/>
      <c r="N6" s="9">
        <v>3.28</v>
      </c>
      <c r="O6" s="10">
        <v>84</v>
      </c>
      <c r="P6" s="10">
        <f>O6*N6</f>
        <v>275.52</v>
      </c>
    </row>
    <row r="7" ht="30" customHeight="1" spans="1:12">
      <c r="A7" s="19">
        <v>1.2</v>
      </c>
      <c r="B7" s="19" t="s">
        <v>20</v>
      </c>
      <c r="C7" s="24" t="s">
        <v>21</v>
      </c>
      <c r="D7" s="19">
        <f>D6*0.1</f>
        <v>27.55</v>
      </c>
      <c r="E7" s="19">
        <v>245.35</v>
      </c>
      <c r="F7" s="25">
        <f t="shared" ref="F7:F25" si="1">D7*E7</f>
        <v>6759.3925</v>
      </c>
      <c r="G7" s="19" t="s">
        <v>22</v>
      </c>
      <c r="H7" s="19">
        <f>H6*0.1</f>
        <v>27.55</v>
      </c>
      <c r="I7" s="19">
        <v>108.27</v>
      </c>
      <c r="J7" s="25">
        <f t="shared" si="0"/>
        <v>2982.8385</v>
      </c>
      <c r="K7" s="19"/>
      <c r="L7" s="25">
        <f t="shared" ref="L7:L38" si="2">J7-F7</f>
        <v>-3776.554</v>
      </c>
    </row>
    <row r="8" ht="32" customHeight="1" spans="1:12">
      <c r="A8" s="19">
        <v>1.3</v>
      </c>
      <c r="B8" s="26" t="s">
        <v>23</v>
      </c>
      <c r="C8" s="24" t="s">
        <v>18</v>
      </c>
      <c r="D8" s="27">
        <v>275.5</v>
      </c>
      <c r="E8" s="28">
        <v>88.91</v>
      </c>
      <c r="F8" s="25">
        <f t="shared" si="1"/>
        <v>24494.705</v>
      </c>
      <c r="G8" s="26" t="s">
        <v>24</v>
      </c>
      <c r="H8" s="27">
        <v>275.5</v>
      </c>
      <c r="I8" s="28">
        <v>87.77</v>
      </c>
      <c r="J8" s="25">
        <f t="shared" si="0"/>
        <v>24180.635</v>
      </c>
      <c r="K8" s="19"/>
      <c r="L8" s="25">
        <f t="shared" si="2"/>
        <v>-314.070000000003</v>
      </c>
    </row>
    <row r="9" customHeight="1" spans="1:16">
      <c r="A9" s="19">
        <v>1.4</v>
      </c>
      <c r="B9" s="26" t="s">
        <v>25</v>
      </c>
      <c r="C9" s="24" t="s">
        <v>21</v>
      </c>
      <c r="D9" s="27">
        <v>41.3</v>
      </c>
      <c r="E9" s="28">
        <v>665.89</v>
      </c>
      <c r="F9" s="25">
        <f t="shared" si="1"/>
        <v>27501.257</v>
      </c>
      <c r="G9" s="26" t="s">
        <v>25</v>
      </c>
      <c r="H9" s="27">
        <v>41.3</v>
      </c>
      <c r="I9" s="28">
        <v>642.66</v>
      </c>
      <c r="J9" s="25">
        <f t="shared" si="0"/>
        <v>26541.858</v>
      </c>
      <c r="K9" s="12"/>
      <c r="L9" s="25">
        <f t="shared" si="2"/>
        <v>-959.399000000005</v>
      </c>
      <c r="N9" s="9">
        <v>3.28</v>
      </c>
      <c r="O9" s="10">
        <v>84</v>
      </c>
      <c r="P9" s="10">
        <f>O9*N9*0.15</f>
        <v>41.328</v>
      </c>
    </row>
    <row r="10" customHeight="1" spans="1:16">
      <c r="A10" s="19">
        <v>1.5</v>
      </c>
      <c r="B10" s="26" t="s">
        <v>26</v>
      </c>
      <c r="C10" s="24" t="s">
        <v>21</v>
      </c>
      <c r="D10" s="27">
        <v>27.5</v>
      </c>
      <c r="E10" s="19">
        <v>192.63</v>
      </c>
      <c r="F10" s="25">
        <f t="shared" si="1"/>
        <v>5297.325</v>
      </c>
      <c r="G10" s="26" t="s">
        <v>26</v>
      </c>
      <c r="H10" s="27">
        <v>27.5</v>
      </c>
      <c r="I10" s="19">
        <v>192.63</v>
      </c>
      <c r="J10" s="25">
        <f t="shared" si="0"/>
        <v>5297.325</v>
      </c>
      <c r="K10" s="19"/>
      <c r="L10" s="25"/>
      <c r="N10" s="9">
        <v>3.28</v>
      </c>
      <c r="O10" s="10">
        <v>84</v>
      </c>
      <c r="P10" s="10">
        <f>O10*N10*0.1</f>
        <v>27.552</v>
      </c>
    </row>
    <row r="11" customHeight="1" spans="1:21">
      <c r="A11" s="19">
        <v>1.6</v>
      </c>
      <c r="B11" s="12" t="s">
        <v>27</v>
      </c>
      <c r="C11" s="29" t="s">
        <v>28</v>
      </c>
      <c r="D11" s="12">
        <f>P11+U11</f>
        <v>866.53</v>
      </c>
      <c r="E11" s="12">
        <v>64.56</v>
      </c>
      <c r="F11" s="25">
        <f t="shared" si="1"/>
        <v>55943.1768</v>
      </c>
      <c r="G11" s="12" t="s">
        <v>27</v>
      </c>
      <c r="H11" s="12">
        <f>284.13+502.4</f>
        <v>786.53</v>
      </c>
      <c r="I11" s="12">
        <v>42.79</v>
      </c>
      <c r="J11" s="25">
        <f t="shared" si="0"/>
        <v>33655.6187</v>
      </c>
      <c r="K11" s="19"/>
      <c r="L11" s="25">
        <f t="shared" si="2"/>
        <v>-22287.5581</v>
      </c>
      <c r="N11" s="9">
        <v>14.56</v>
      </c>
      <c r="O11" s="10">
        <v>40</v>
      </c>
      <c r="P11" s="10">
        <f>O11*N11</f>
        <v>582.4</v>
      </c>
      <c r="R11" s="9">
        <v>861</v>
      </c>
      <c r="S11" s="10">
        <v>1.1</v>
      </c>
      <c r="T11" s="10">
        <v>0.3</v>
      </c>
      <c r="U11" s="10">
        <f>R11*S11*T11</f>
        <v>284.13</v>
      </c>
    </row>
    <row r="12" ht="34" customHeight="1" spans="1:12">
      <c r="A12" s="19">
        <v>1.7</v>
      </c>
      <c r="B12" s="30" t="s">
        <v>29</v>
      </c>
      <c r="C12" s="29" t="s">
        <v>28</v>
      </c>
      <c r="D12" s="12">
        <f>(D13+D14+D16+D18)</f>
        <v>493.5</v>
      </c>
      <c r="E12" s="12">
        <v>56.8</v>
      </c>
      <c r="F12" s="25">
        <f t="shared" si="1"/>
        <v>28030.8</v>
      </c>
      <c r="G12" s="30" t="s">
        <v>29</v>
      </c>
      <c r="H12" s="12">
        <f>(H13+H14+H16+H18)</f>
        <v>493.42</v>
      </c>
      <c r="I12" s="12">
        <v>56.8</v>
      </c>
      <c r="J12" s="25">
        <f t="shared" si="0"/>
        <v>28026.256</v>
      </c>
      <c r="K12" s="19"/>
      <c r="L12" s="25">
        <f t="shared" si="2"/>
        <v>-4.54399999999805</v>
      </c>
    </row>
    <row r="13" customHeight="1" spans="1:30">
      <c r="A13" s="19">
        <v>1.8</v>
      </c>
      <c r="B13" s="12" t="s">
        <v>30</v>
      </c>
      <c r="C13" s="29" t="s">
        <v>28</v>
      </c>
      <c r="D13" s="12">
        <v>270</v>
      </c>
      <c r="E13" s="12">
        <v>285.62</v>
      </c>
      <c r="F13" s="25">
        <f t="shared" si="1"/>
        <v>77117.4</v>
      </c>
      <c r="G13" s="12" t="s">
        <v>30</v>
      </c>
      <c r="H13" s="12">
        <v>270</v>
      </c>
      <c r="I13" s="12">
        <v>283.68</v>
      </c>
      <c r="J13" s="25">
        <f t="shared" si="0"/>
        <v>76593.6</v>
      </c>
      <c r="K13" s="19"/>
      <c r="L13" s="25">
        <f t="shared" si="2"/>
        <v>-523.799999999988</v>
      </c>
      <c r="M13" s="10">
        <f>N13*O13*P13</f>
        <v>269.5341</v>
      </c>
      <c r="N13" s="9">
        <f>861.77-45</f>
        <v>816.77</v>
      </c>
      <c r="O13" s="10">
        <v>1.1</v>
      </c>
      <c r="P13" s="10">
        <v>0.3</v>
      </c>
      <c r="W13" s="10">
        <v>79</v>
      </c>
      <c r="X13" s="10">
        <v>3</v>
      </c>
      <c r="Y13" s="10">
        <v>5</v>
      </c>
      <c r="Z13" s="10">
        <f>AVERAGE(X6:X13)</f>
        <v>3</v>
      </c>
      <c r="AA13" s="10">
        <f>AVERAGE(Y6:Y13)</f>
        <v>5</v>
      </c>
      <c r="AB13" s="10" t="e">
        <f>W13-#REF!</f>
        <v>#REF!</v>
      </c>
      <c r="AC13" s="10" t="e">
        <f>Z13*AB13</f>
        <v>#REF!</v>
      </c>
      <c r="AD13" s="10" t="e">
        <f>AA13*AB13</f>
        <v>#REF!</v>
      </c>
    </row>
    <row r="14" customFormat="1" customHeight="1" spans="1:16">
      <c r="A14" s="19">
        <v>1.9</v>
      </c>
      <c r="B14" s="19" t="s">
        <v>31</v>
      </c>
      <c r="C14" s="29" t="s">
        <v>28</v>
      </c>
      <c r="D14" s="31">
        <v>95</v>
      </c>
      <c r="E14" s="19">
        <v>192.44</v>
      </c>
      <c r="F14" s="25">
        <f t="shared" si="1"/>
        <v>18281.8</v>
      </c>
      <c r="G14" s="19" t="s">
        <v>31</v>
      </c>
      <c r="H14" s="31">
        <v>95</v>
      </c>
      <c r="I14" s="19">
        <v>192.63</v>
      </c>
      <c r="J14" s="25">
        <f t="shared" si="0"/>
        <v>18299.85</v>
      </c>
      <c r="K14" s="25">
        <f>J14-F14</f>
        <v>18.0499999999993</v>
      </c>
      <c r="L14" s="25"/>
      <c r="M14" s="10">
        <f>N14*O14*P14</f>
        <v>94.7947</v>
      </c>
      <c r="N14" s="9">
        <v>861.77</v>
      </c>
      <c r="O14" s="10">
        <v>1.1</v>
      </c>
      <c r="P14" s="10">
        <v>0.1</v>
      </c>
    </row>
    <row r="15" customFormat="1" customHeight="1" spans="1:30">
      <c r="A15" s="32">
        <v>1.1</v>
      </c>
      <c r="B15" s="19" t="s">
        <v>32</v>
      </c>
      <c r="C15" s="29" t="s">
        <v>28</v>
      </c>
      <c r="D15" s="31">
        <v>7.5</v>
      </c>
      <c r="E15" s="28">
        <v>619.98</v>
      </c>
      <c r="F15" s="25">
        <f t="shared" si="1"/>
        <v>4649.85</v>
      </c>
      <c r="G15" s="19" t="s">
        <v>32</v>
      </c>
      <c r="H15" s="31">
        <v>7.5</v>
      </c>
      <c r="I15" s="28">
        <v>708.78</v>
      </c>
      <c r="J15" s="25">
        <f t="shared" si="0"/>
        <v>5315.85</v>
      </c>
      <c r="K15" s="25">
        <f>J15-F15</f>
        <v>665.999999999999</v>
      </c>
      <c r="L15" s="44"/>
      <c r="M15" s="10">
        <f t="shared" ref="M15:M18" si="3">N15*O15</f>
        <v>7.5</v>
      </c>
      <c r="N15" s="9">
        <v>50</v>
      </c>
      <c r="O15" s="10">
        <v>0.15</v>
      </c>
      <c r="P15" s="10"/>
      <c r="Q15" s="10"/>
      <c r="W15" s="10"/>
      <c r="X15" s="10"/>
      <c r="Y15" s="10"/>
      <c r="Z15" s="10"/>
      <c r="AA15" s="10"/>
      <c r="AB15" s="10"/>
      <c r="AC15" s="10"/>
      <c r="AD15" s="10"/>
    </row>
    <row r="16" customFormat="1" customHeight="1" spans="1:30">
      <c r="A16" s="32">
        <v>1.11</v>
      </c>
      <c r="B16" s="19" t="s">
        <v>33</v>
      </c>
      <c r="C16" s="29" t="s">
        <v>28</v>
      </c>
      <c r="D16" s="31">
        <v>30</v>
      </c>
      <c r="E16" s="28">
        <v>444.1</v>
      </c>
      <c r="F16" s="25">
        <f t="shared" si="1"/>
        <v>13323</v>
      </c>
      <c r="G16" s="19" t="s">
        <v>33</v>
      </c>
      <c r="H16" s="31">
        <f>35.2*1*0.85</f>
        <v>29.92</v>
      </c>
      <c r="I16" s="28">
        <v>427.77</v>
      </c>
      <c r="J16" s="25">
        <f t="shared" si="0"/>
        <v>12798.8784</v>
      </c>
      <c r="K16" s="44"/>
      <c r="L16" s="25">
        <f>J16-F16</f>
        <v>-524.1216</v>
      </c>
      <c r="M16" s="10">
        <f t="shared" si="3"/>
        <v>29.92</v>
      </c>
      <c r="N16" s="9">
        <v>0.85</v>
      </c>
      <c r="O16" s="10">
        <v>35.2</v>
      </c>
      <c r="P16" s="10"/>
      <c r="Q16" s="10"/>
      <c r="W16" s="10"/>
      <c r="X16" s="10"/>
      <c r="Y16" s="10"/>
      <c r="Z16" s="10"/>
      <c r="AA16" s="10"/>
      <c r="AB16" s="10"/>
      <c r="AC16" s="10"/>
      <c r="AD16" s="10"/>
    </row>
    <row r="17" customFormat="1" customHeight="1" spans="1:30">
      <c r="A17" s="32">
        <v>1.12</v>
      </c>
      <c r="B17" s="19" t="s">
        <v>34</v>
      </c>
      <c r="C17" s="29" t="s">
        <v>28</v>
      </c>
      <c r="D17" s="31">
        <v>5.3</v>
      </c>
      <c r="E17" s="28">
        <v>651.11</v>
      </c>
      <c r="F17" s="25">
        <f t="shared" si="1"/>
        <v>3450.883</v>
      </c>
      <c r="G17" s="19" t="s">
        <v>34</v>
      </c>
      <c r="H17" s="31">
        <f>1*35.2*0.15</f>
        <v>5.28</v>
      </c>
      <c r="I17" s="28">
        <v>651.11</v>
      </c>
      <c r="J17" s="25">
        <f t="shared" si="0"/>
        <v>3437.8608</v>
      </c>
      <c r="K17" s="44"/>
      <c r="L17" s="25">
        <f>J17-F17</f>
        <v>-13.0221999999994</v>
      </c>
      <c r="M17" s="10">
        <f t="shared" si="3"/>
        <v>5.28</v>
      </c>
      <c r="N17" s="9">
        <v>0.15</v>
      </c>
      <c r="O17" s="10">
        <v>35.2</v>
      </c>
      <c r="P17" s="10"/>
      <c r="Q17" s="10"/>
      <c r="W17" s="10"/>
      <c r="X17" s="10"/>
      <c r="Y17" s="10"/>
      <c r="Z17" s="10"/>
      <c r="AA17" s="10"/>
      <c r="AB17" s="10"/>
      <c r="AC17" s="10"/>
      <c r="AD17" s="10"/>
    </row>
    <row r="18" customFormat="1" customHeight="1" spans="1:30">
      <c r="A18" s="32">
        <v>1.13</v>
      </c>
      <c r="B18" s="19" t="s">
        <v>35</v>
      </c>
      <c r="C18" s="29" t="s">
        <v>28</v>
      </c>
      <c r="D18" s="31">
        <v>98.5</v>
      </c>
      <c r="E18" s="27">
        <v>188.19</v>
      </c>
      <c r="F18" s="25">
        <f t="shared" si="1"/>
        <v>18536.715</v>
      </c>
      <c r="G18" s="19" t="s">
        <v>35</v>
      </c>
      <c r="H18" s="31">
        <v>98.5</v>
      </c>
      <c r="I18" s="27">
        <v>193.78</v>
      </c>
      <c r="J18" s="25">
        <f t="shared" si="0"/>
        <v>19087.33</v>
      </c>
      <c r="K18" s="25">
        <f>J18-F18</f>
        <v>550.615000000002</v>
      </c>
      <c r="L18" s="44"/>
      <c r="M18" s="10">
        <f t="shared" si="3"/>
        <v>98.56</v>
      </c>
      <c r="N18" s="9">
        <v>2.8</v>
      </c>
      <c r="O18" s="10">
        <v>35.2</v>
      </c>
      <c r="P18" s="10"/>
      <c r="Q18" s="10"/>
      <c r="W18" s="10"/>
      <c r="X18" s="10"/>
      <c r="Y18" s="10"/>
      <c r="Z18" s="10"/>
      <c r="AA18" s="10"/>
      <c r="AB18" s="10"/>
      <c r="AC18" s="10"/>
      <c r="AD18" s="10"/>
    </row>
    <row r="19" customFormat="1" customHeight="1" spans="1:30">
      <c r="A19" s="32">
        <v>1.14</v>
      </c>
      <c r="B19" s="19" t="s">
        <v>36</v>
      </c>
      <c r="C19" s="29" t="s">
        <v>28</v>
      </c>
      <c r="D19" s="31">
        <v>31.6</v>
      </c>
      <c r="E19" s="19">
        <v>732.18</v>
      </c>
      <c r="F19" s="25">
        <f t="shared" si="1"/>
        <v>23136.888</v>
      </c>
      <c r="G19" s="19" t="s">
        <v>36</v>
      </c>
      <c r="H19" s="31">
        <v>31.6</v>
      </c>
      <c r="I19" s="19">
        <v>708.78</v>
      </c>
      <c r="J19" s="25">
        <f t="shared" si="0"/>
        <v>22397.448</v>
      </c>
      <c r="L19" s="25">
        <f>J19-F19</f>
        <v>-739.439999999999</v>
      </c>
      <c r="M19" s="10"/>
      <c r="N19" s="9">
        <f>(24*1.1)</f>
        <v>26.4</v>
      </c>
      <c r="O19" s="10">
        <v>0.15</v>
      </c>
      <c r="P19" s="10"/>
      <c r="Q19" s="10">
        <f>O19*N19*2</f>
        <v>7.92</v>
      </c>
      <c r="W19" s="10"/>
      <c r="X19" s="10"/>
      <c r="Y19" s="10"/>
      <c r="Z19" s="10"/>
      <c r="AA19" s="10"/>
      <c r="AB19" s="10"/>
      <c r="AC19" s="10"/>
      <c r="AD19" s="10"/>
    </row>
    <row r="20" customFormat="1" customHeight="1" spans="1:30">
      <c r="A20" s="32">
        <v>1.15</v>
      </c>
      <c r="B20" s="19" t="s">
        <v>37</v>
      </c>
      <c r="C20" s="29" t="s">
        <v>28</v>
      </c>
      <c r="D20" s="31">
        <v>11.66</v>
      </c>
      <c r="E20" s="19">
        <v>834.33</v>
      </c>
      <c r="F20" s="25">
        <f t="shared" si="1"/>
        <v>9728.2878</v>
      </c>
      <c r="G20" s="19" t="s">
        <v>37</v>
      </c>
      <c r="H20" s="31">
        <v>11.66</v>
      </c>
      <c r="I20" s="19">
        <v>834.33</v>
      </c>
      <c r="J20" s="25">
        <f t="shared" si="0"/>
        <v>9728.2878</v>
      </c>
      <c r="K20" s="19"/>
      <c r="L20" s="25"/>
      <c r="M20" s="10">
        <f>N20*O20</f>
        <v>11.664</v>
      </c>
      <c r="N20" s="9">
        <v>0.36</v>
      </c>
      <c r="O20" s="10">
        <v>32.4</v>
      </c>
      <c r="P20" s="10"/>
      <c r="Q20" s="10"/>
      <c r="R20">
        <f>O20*0.1</f>
        <v>3.24</v>
      </c>
      <c r="W20" s="10"/>
      <c r="X20" s="10"/>
      <c r="Y20" s="10"/>
      <c r="Z20" s="10"/>
      <c r="AA20" s="10"/>
      <c r="AB20" s="10"/>
      <c r="AC20" s="10"/>
      <c r="AD20" s="10"/>
    </row>
    <row r="21" customFormat="1" customHeight="1" spans="1:30">
      <c r="A21" s="32">
        <v>1.16</v>
      </c>
      <c r="B21" s="19" t="s">
        <v>38</v>
      </c>
      <c r="C21" s="24" t="s">
        <v>18</v>
      </c>
      <c r="D21" s="19">
        <v>193.26</v>
      </c>
      <c r="E21" s="19">
        <v>231.82</v>
      </c>
      <c r="F21" s="25">
        <f t="shared" si="1"/>
        <v>44801.5332</v>
      </c>
      <c r="G21" s="19" t="s">
        <v>38</v>
      </c>
      <c r="H21" s="19">
        <v>193.26</v>
      </c>
      <c r="I21" s="19">
        <v>231.82</v>
      </c>
      <c r="J21" s="25">
        <f t="shared" si="0"/>
        <v>44801.5332</v>
      </c>
      <c r="K21" s="19"/>
      <c r="L21" s="25"/>
      <c r="M21" s="10"/>
      <c r="N21" s="9">
        <f>1.4*(0.15+0.338)*14/0.15+2*(0.15+0.338)*14/0.15+0.6*64</f>
        <v>193.258666666667</v>
      </c>
      <c r="O21" s="10"/>
      <c r="P21" s="10"/>
      <c r="Q21" s="10"/>
      <c r="W21" s="10"/>
      <c r="X21" s="10"/>
      <c r="Y21" s="10"/>
      <c r="Z21" s="10"/>
      <c r="AA21" s="10"/>
      <c r="AB21" s="10"/>
      <c r="AC21" s="10"/>
      <c r="AD21" s="10"/>
    </row>
    <row r="22" customFormat="1" customHeight="1" spans="1:30">
      <c r="A22" s="32">
        <v>1.17</v>
      </c>
      <c r="B22" s="19" t="s">
        <v>39</v>
      </c>
      <c r="C22" s="29" t="s">
        <v>28</v>
      </c>
      <c r="D22" s="20">
        <v>1.9</v>
      </c>
      <c r="E22" s="19">
        <v>834.33</v>
      </c>
      <c r="F22" s="25">
        <f t="shared" si="1"/>
        <v>1585.227</v>
      </c>
      <c r="G22" s="19" t="s">
        <v>39</v>
      </c>
      <c r="H22" s="20">
        <v>1.9</v>
      </c>
      <c r="I22" s="19">
        <v>727.87</v>
      </c>
      <c r="J22" s="25">
        <f t="shared" si="0"/>
        <v>1382.953</v>
      </c>
      <c r="K22" s="19"/>
      <c r="L22" s="25">
        <f t="shared" si="2"/>
        <v>-202.274</v>
      </c>
      <c r="M22" s="10"/>
      <c r="N22" s="9"/>
      <c r="O22" s="10"/>
      <c r="P22" s="10"/>
      <c r="Q22" s="10"/>
      <c r="W22" s="10"/>
      <c r="X22" s="10"/>
      <c r="Y22" s="10"/>
      <c r="Z22" s="10"/>
      <c r="AA22" s="10"/>
      <c r="AB22" s="10"/>
      <c r="AC22" s="10"/>
      <c r="AD22" s="10"/>
    </row>
    <row r="23" customFormat="1" customHeight="1" spans="1:30">
      <c r="A23" s="32">
        <v>1.18</v>
      </c>
      <c r="B23" s="19" t="s">
        <v>40</v>
      </c>
      <c r="C23" s="29" t="s">
        <v>28</v>
      </c>
      <c r="D23" s="19">
        <v>3.79</v>
      </c>
      <c r="E23" s="19">
        <v>596.67</v>
      </c>
      <c r="F23" s="25">
        <f t="shared" si="1"/>
        <v>2261.3793</v>
      </c>
      <c r="G23" s="19" t="s">
        <v>40</v>
      </c>
      <c r="H23" s="19">
        <v>3.79</v>
      </c>
      <c r="I23" s="19">
        <v>596.67</v>
      </c>
      <c r="J23" s="25">
        <f t="shared" si="0"/>
        <v>2261.3793</v>
      </c>
      <c r="K23" s="19"/>
      <c r="L23" s="25"/>
      <c r="M23" s="10"/>
      <c r="N23" s="9">
        <f>32.4*0.1+5*0.11</f>
        <v>3.79</v>
      </c>
      <c r="O23" s="10"/>
      <c r="P23" s="10"/>
      <c r="Q23" s="10"/>
      <c r="W23" s="10"/>
      <c r="X23" s="10"/>
      <c r="Y23" s="10"/>
      <c r="Z23" s="10"/>
      <c r="AA23" s="10"/>
      <c r="AB23" s="10"/>
      <c r="AC23" s="10"/>
      <c r="AD23" s="10"/>
    </row>
    <row r="24" customFormat="1" customHeight="1" spans="1:30">
      <c r="A24" s="32">
        <v>1.19</v>
      </c>
      <c r="B24" s="19" t="s">
        <v>41</v>
      </c>
      <c r="C24" s="31" t="s">
        <v>42</v>
      </c>
      <c r="D24" s="20">
        <v>1</v>
      </c>
      <c r="E24" s="19">
        <v>2000</v>
      </c>
      <c r="F24" s="25">
        <f t="shared" si="1"/>
        <v>2000</v>
      </c>
      <c r="G24" s="19" t="s">
        <v>41</v>
      </c>
      <c r="H24" s="20">
        <v>1</v>
      </c>
      <c r="I24" s="19">
        <v>2000</v>
      </c>
      <c r="J24" s="25">
        <f t="shared" si="0"/>
        <v>2000</v>
      </c>
      <c r="K24" s="19"/>
      <c r="L24" s="25"/>
      <c r="M24" s="10"/>
      <c r="N24" s="9"/>
      <c r="O24" s="10"/>
      <c r="P24" s="10"/>
      <c r="Q24" s="10"/>
      <c r="W24" s="10"/>
      <c r="X24" s="10"/>
      <c r="Y24" s="10"/>
      <c r="Z24" s="10"/>
      <c r="AA24" s="10"/>
      <c r="AB24" s="10"/>
      <c r="AC24" s="10"/>
      <c r="AD24" s="10"/>
    </row>
    <row r="25" customFormat="1" customHeight="1" spans="1:30">
      <c r="A25" s="32">
        <v>1.2</v>
      </c>
      <c r="B25" s="19" t="s">
        <v>43</v>
      </c>
      <c r="C25" s="29" t="s">
        <v>44</v>
      </c>
      <c r="D25" s="20">
        <f>(D16+D15+D19+D20+D22)/10</f>
        <v>8.266</v>
      </c>
      <c r="E25" s="19">
        <v>128.5</v>
      </c>
      <c r="F25" s="25">
        <f t="shared" si="1"/>
        <v>1062.181</v>
      </c>
      <c r="G25" s="19" t="s">
        <v>43</v>
      </c>
      <c r="H25" s="20">
        <f>(H16+H15+H19+H20+H22)/10</f>
        <v>8.258</v>
      </c>
      <c r="I25" s="19">
        <v>124.13</v>
      </c>
      <c r="J25" s="25">
        <f t="shared" si="0"/>
        <v>1025.06554</v>
      </c>
      <c r="K25" s="19"/>
      <c r="L25" s="25">
        <f t="shared" si="2"/>
        <v>-37.1154600000002</v>
      </c>
      <c r="M25" s="10"/>
      <c r="N25" s="9"/>
      <c r="O25" s="10"/>
      <c r="P25" s="10"/>
      <c r="Q25" s="10"/>
      <c r="W25" s="10"/>
      <c r="X25" s="10"/>
      <c r="Y25" s="10"/>
      <c r="Z25" s="10"/>
      <c r="AA25" s="10"/>
      <c r="AB25" s="10"/>
      <c r="AC25" s="10"/>
      <c r="AD25" s="10"/>
    </row>
    <row r="26" s="11" customFormat="1" customHeight="1" spans="1:14">
      <c r="A26" s="21">
        <v>2</v>
      </c>
      <c r="B26" s="21" t="s">
        <v>45</v>
      </c>
      <c r="C26" s="33" t="s">
        <v>16</v>
      </c>
      <c r="D26" s="21"/>
      <c r="E26" s="21"/>
      <c r="F26" s="22">
        <f>SUM(F27:F36)</f>
        <v>332512.72</v>
      </c>
      <c r="G26" s="21" t="s">
        <v>45</v>
      </c>
      <c r="H26" s="21"/>
      <c r="I26" s="21"/>
      <c r="J26" s="22">
        <f>SUM(J27:J36)</f>
        <v>296864.244</v>
      </c>
      <c r="K26" s="19"/>
      <c r="L26" s="25">
        <f t="shared" si="2"/>
        <v>-35648.476</v>
      </c>
      <c r="M26" s="10"/>
      <c r="N26" s="9"/>
    </row>
    <row r="27" s="11" customFormat="1" ht="36" customHeight="1" spans="1:26">
      <c r="A27" s="34">
        <v>2.1</v>
      </c>
      <c r="B27" s="34" t="s">
        <v>46</v>
      </c>
      <c r="C27" s="29" t="s">
        <v>28</v>
      </c>
      <c r="D27" s="20">
        <v>186.6</v>
      </c>
      <c r="E27" s="19">
        <v>245.35</v>
      </c>
      <c r="F27" s="35">
        <f>D27*E27</f>
        <v>45782.31</v>
      </c>
      <c r="G27" s="34" t="s">
        <v>47</v>
      </c>
      <c r="H27" s="20">
        <v>186.6</v>
      </c>
      <c r="I27" s="19">
        <v>108.27</v>
      </c>
      <c r="J27" s="35">
        <f t="shared" ref="J27:J36" si="4">H27*I27</f>
        <v>20203.182</v>
      </c>
      <c r="K27" s="19"/>
      <c r="L27" s="25">
        <f t="shared" si="2"/>
        <v>-25579.128</v>
      </c>
      <c r="N27" s="45"/>
      <c r="O27" s="11">
        <f>(2.2+3.6)/2*2*30+63*0.2</f>
        <v>186.6</v>
      </c>
      <c r="R27" s="47"/>
      <c r="V27" s="11">
        <f>W27*X27</f>
        <v>205</v>
      </c>
      <c r="W27" s="11">
        <v>20.5</v>
      </c>
      <c r="X27" s="11">
        <v>10</v>
      </c>
      <c r="Z27" s="11">
        <v>11.7</v>
      </c>
    </row>
    <row r="28" s="11" customFormat="1" customHeight="1" spans="1:18">
      <c r="A28" s="11">
        <v>2.2</v>
      </c>
      <c r="B28" s="34" t="s">
        <v>48</v>
      </c>
      <c r="C28" s="29" t="s">
        <v>28</v>
      </c>
      <c r="D28" s="20">
        <v>211.7</v>
      </c>
      <c r="E28" s="34">
        <v>709.09</v>
      </c>
      <c r="F28" s="35">
        <f t="shared" ref="F28:F36" si="5">D28*E28</f>
        <v>150114.353</v>
      </c>
      <c r="G28" s="34" t="s">
        <v>48</v>
      </c>
      <c r="H28" s="20">
        <v>211.7</v>
      </c>
      <c r="I28" s="34">
        <v>695.44</v>
      </c>
      <c r="J28" s="35">
        <f t="shared" si="4"/>
        <v>147224.648</v>
      </c>
      <c r="K28" s="46"/>
      <c r="L28" s="25">
        <f t="shared" si="2"/>
        <v>-2889.70499999999</v>
      </c>
      <c r="N28" s="45"/>
      <c r="R28" s="47"/>
    </row>
    <row r="29" s="11" customFormat="1" customHeight="1" spans="1:17">
      <c r="A29" s="34">
        <v>2.3</v>
      </c>
      <c r="B29" s="19" t="s">
        <v>49</v>
      </c>
      <c r="C29" s="29" t="s">
        <v>28</v>
      </c>
      <c r="D29" s="20">
        <v>42.1</v>
      </c>
      <c r="E29" s="19">
        <v>734.17</v>
      </c>
      <c r="F29" s="35">
        <f t="shared" si="5"/>
        <v>30908.557</v>
      </c>
      <c r="G29" s="19" t="s">
        <v>49</v>
      </c>
      <c r="H29" s="20">
        <v>42.1</v>
      </c>
      <c r="I29" s="19">
        <v>662.34</v>
      </c>
      <c r="J29" s="35">
        <f t="shared" si="4"/>
        <v>27884.514</v>
      </c>
      <c r="K29" s="46"/>
      <c r="L29" s="25">
        <f t="shared" si="2"/>
        <v>-3024.043</v>
      </c>
      <c r="M29" s="10"/>
      <c r="N29" s="9"/>
      <c r="O29" s="10"/>
      <c r="P29" s="10"/>
      <c r="Q29" s="10"/>
    </row>
    <row r="30" s="11" customFormat="1" customHeight="1" spans="1:17">
      <c r="A30" s="34">
        <v>2.4</v>
      </c>
      <c r="B30" s="19" t="s">
        <v>43</v>
      </c>
      <c r="C30" s="29" t="s">
        <v>44</v>
      </c>
      <c r="D30" s="20">
        <v>50</v>
      </c>
      <c r="E30" s="19">
        <v>128.5</v>
      </c>
      <c r="F30" s="35">
        <f t="shared" si="5"/>
        <v>6425</v>
      </c>
      <c r="G30" s="19" t="s">
        <v>43</v>
      </c>
      <c r="H30" s="20">
        <v>50</v>
      </c>
      <c r="I30" s="19">
        <v>122.21</v>
      </c>
      <c r="J30" s="35">
        <f t="shared" si="4"/>
        <v>6110.5</v>
      </c>
      <c r="K30" s="19"/>
      <c r="L30" s="25">
        <f t="shared" si="2"/>
        <v>-314.5</v>
      </c>
      <c r="M30" s="10"/>
      <c r="N30" s="9"/>
      <c r="O30" s="10"/>
      <c r="P30" s="10"/>
      <c r="Q30" s="10"/>
    </row>
    <row r="31" s="11" customFormat="1" customHeight="1" spans="1:17">
      <c r="A31" s="34">
        <v>2.5</v>
      </c>
      <c r="B31" s="19" t="s">
        <v>50</v>
      </c>
      <c r="C31" s="31" t="s">
        <v>51</v>
      </c>
      <c r="D31" s="20">
        <v>150</v>
      </c>
      <c r="E31" s="19">
        <v>24.99</v>
      </c>
      <c r="F31" s="35">
        <f t="shared" si="5"/>
        <v>3748.5</v>
      </c>
      <c r="G31" s="19" t="s">
        <v>50</v>
      </c>
      <c r="H31" s="20">
        <v>150</v>
      </c>
      <c r="I31" s="19">
        <v>24.99</v>
      </c>
      <c r="J31" s="35">
        <f t="shared" si="4"/>
        <v>3748.5</v>
      </c>
      <c r="K31" s="19"/>
      <c r="L31" s="25"/>
      <c r="M31" s="10"/>
      <c r="N31" s="9"/>
      <c r="O31" s="10"/>
      <c r="P31" s="10"/>
      <c r="Q31" s="10"/>
    </row>
    <row r="32" s="11" customFormat="1" customHeight="1" spans="1:17">
      <c r="A32" s="34">
        <v>2.6</v>
      </c>
      <c r="B32" s="26" t="s">
        <v>52</v>
      </c>
      <c r="C32" s="24" t="s">
        <v>53</v>
      </c>
      <c r="D32" s="36">
        <v>75</v>
      </c>
      <c r="E32" s="28">
        <v>196.07</v>
      </c>
      <c r="F32" s="35">
        <f t="shared" si="5"/>
        <v>14705.25</v>
      </c>
      <c r="G32" s="26" t="s">
        <v>52</v>
      </c>
      <c r="H32" s="36">
        <v>75</v>
      </c>
      <c r="I32" s="28">
        <v>244.93</v>
      </c>
      <c r="J32" s="35">
        <f t="shared" si="4"/>
        <v>18369.75</v>
      </c>
      <c r="K32" s="25">
        <f>J32-F32</f>
        <v>3664.5</v>
      </c>
      <c r="L32" s="46"/>
      <c r="M32" s="10"/>
      <c r="N32" s="9"/>
      <c r="O32" s="10"/>
      <c r="P32" s="10"/>
      <c r="Q32" s="10"/>
    </row>
    <row r="33" s="11" customFormat="1" customHeight="1" spans="1:17">
      <c r="A33" s="34">
        <v>2.7</v>
      </c>
      <c r="B33" s="26" t="s">
        <v>54</v>
      </c>
      <c r="C33" s="24" t="s">
        <v>53</v>
      </c>
      <c r="D33" s="36">
        <v>75</v>
      </c>
      <c r="E33" s="28">
        <v>20</v>
      </c>
      <c r="F33" s="35">
        <f t="shared" si="5"/>
        <v>1500</v>
      </c>
      <c r="G33" s="26" t="s">
        <v>54</v>
      </c>
      <c r="H33" s="36">
        <v>75</v>
      </c>
      <c r="I33" s="28">
        <v>20</v>
      </c>
      <c r="J33" s="35">
        <f t="shared" si="4"/>
        <v>1500</v>
      </c>
      <c r="K33" s="19"/>
      <c r="L33" s="25"/>
      <c r="M33" s="10"/>
      <c r="N33" s="9"/>
      <c r="O33" s="10"/>
      <c r="P33" s="10"/>
      <c r="Q33" s="10"/>
    </row>
    <row r="34" s="11" customFormat="1" ht="35" customHeight="1" spans="1:17">
      <c r="A34" s="34">
        <v>2.8</v>
      </c>
      <c r="B34" s="26" t="s">
        <v>55</v>
      </c>
      <c r="C34" s="24" t="s">
        <v>53</v>
      </c>
      <c r="D34" s="36">
        <v>99</v>
      </c>
      <c r="E34" s="28">
        <f>197.94</f>
        <v>197.94</v>
      </c>
      <c r="F34" s="35">
        <f t="shared" si="5"/>
        <v>19596.06</v>
      </c>
      <c r="G34" s="26" t="s">
        <v>55</v>
      </c>
      <c r="H34" s="36">
        <f>105*1.1</f>
        <v>115.5</v>
      </c>
      <c r="I34" s="28">
        <v>165.17</v>
      </c>
      <c r="J34" s="35">
        <f t="shared" si="4"/>
        <v>19077.135</v>
      </c>
      <c r="K34" s="19"/>
      <c r="L34" s="25">
        <f t="shared" si="2"/>
        <v>-518.925000000003</v>
      </c>
      <c r="M34" s="10"/>
      <c r="N34" s="9"/>
      <c r="O34" s="10"/>
      <c r="P34" s="10"/>
      <c r="Q34" s="10"/>
    </row>
    <row r="35" s="11" customFormat="1" ht="32" customHeight="1" spans="1:17">
      <c r="A35" s="34">
        <v>2.9</v>
      </c>
      <c r="B35" s="26" t="s">
        <v>56</v>
      </c>
      <c r="C35" s="24" t="s">
        <v>53</v>
      </c>
      <c r="D35" s="36">
        <v>99</v>
      </c>
      <c r="E35" s="28">
        <v>563.61</v>
      </c>
      <c r="F35" s="35">
        <f t="shared" si="5"/>
        <v>55797.39</v>
      </c>
      <c r="G35" s="26" t="s">
        <v>56</v>
      </c>
      <c r="H35" s="36">
        <f>105*1.1</f>
        <v>115.5</v>
      </c>
      <c r="I35" s="28">
        <v>428.49</v>
      </c>
      <c r="J35" s="35">
        <f t="shared" si="4"/>
        <v>49490.595</v>
      </c>
      <c r="K35" s="19"/>
      <c r="L35" s="25">
        <f t="shared" si="2"/>
        <v>-6306.795</v>
      </c>
      <c r="M35" s="10"/>
      <c r="N35" s="9"/>
      <c r="O35" s="10"/>
      <c r="P35" s="10"/>
      <c r="Q35" s="10"/>
    </row>
    <row r="36" s="11" customFormat="1" customHeight="1" spans="1:17">
      <c r="A36" s="37">
        <v>2.1</v>
      </c>
      <c r="B36" s="26" t="s">
        <v>57</v>
      </c>
      <c r="C36" s="24" t="s">
        <v>53</v>
      </c>
      <c r="D36" s="36">
        <v>10</v>
      </c>
      <c r="E36" s="28">
        <v>393.53</v>
      </c>
      <c r="F36" s="35">
        <f t="shared" si="5"/>
        <v>3935.3</v>
      </c>
      <c r="G36" s="26" t="s">
        <v>57</v>
      </c>
      <c r="H36" s="36">
        <v>10.5</v>
      </c>
      <c r="I36" s="28">
        <v>310.04</v>
      </c>
      <c r="J36" s="35">
        <f t="shared" si="4"/>
        <v>3255.42</v>
      </c>
      <c r="K36" s="19"/>
      <c r="L36" s="25">
        <f t="shared" si="2"/>
        <v>-679.88</v>
      </c>
      <c r="M36" s="10"/>
      <c r="N36" s="9"/>
      <c r="O36" s="10"/>
      <c r="P36" s="10"/>
      <c r="Q36" s="10"/>
    </row>
    <row r="37" s="10" customFormat="1" customHeight="1" spans="1:14">
      <c r="A37" s="21">
        <v>3</v>
      </c>
      <c r="B37" s="21" t="s">
        <v>58</v>
      </c>
      <c r="C37" s="33" t="s">
        <v>16</v>
      </c>
      <c r="D37" s="21"/>
      <c r="E37" s="21"/>
      <c r="F37" s="22">
        <f>SUM(F38:F56)</f>
        <v>881023.5419</v>
      </c>
      <c r="G37" s="21" t="s">
        <v>58</v>
      </c>
      <c r="H37" s="21"/>
      <c r="I37" s="21"/>
      <c r="J37" s="22">
        <f>SUM(J38:J56)</f>
        <v>545969.7729</v>
      </c>
      <c r="K37" s="19"/>
      <c r="L37" s="25">
        <f t="shared" si="2"/>
        <v>-335053.769</v>
      </c>
      <c r="N37" s="9"/>
    </row>
    <row r="38" s="10" customFormat="1" customHeight="1" spans="1:14">
      <c r="A38" s="19">
        <v>3.1</v>
      </c>
      <c r="B38" s="19" t="s">
        <v>59</v>
      </c>
      <c r="C38" s="29" t="s">
        <v>28</v>
      </c>
      <c r="D38" s="19">
        <v>85</v>
      </c>
      <c r="E38" s="20">
        <v>3.4</v>
      </c>
      <c r="F38" s="20">
        <f>D38*E38</f>
        <v>289</v>
      </c>
      <c r="G38" s="19" t="s">
        <v>59</v>
      </c>
      <c r="H38" s="19">
        <v>85</v>
      </c>
      <c r="I38" s="20">
        <v>3.29</v>
      </c>
      <c r="J38" s="20">
        <f t="shared" ref="J38:J56" si="6">H38*I38</f>
        <v>279.65</v>
      </c>
      <c r="K38" s="19"/>
      <c r="L38" s="25">
        <f t="shared" si="2"/>
        <v>-9.35000000000002</v>
      </c>
      <c r="N38" s="9"/>
    </row>
    <row r="39" s="10" customFormat="1" customHeight="1" spans="1:14">
      <c r="A39" s="19">
        <v>3.2</v>
      </c>
      <c r="B39" s="19" t="s">
        <v>60</v>
      </c>
      <c r="C39" s="29" t="s">
        <v>28</v>
      </c>
      <c r="D39" s="19">
        <v>85</v>
      </c>
      <c r="E39" s="20">
        <v>8.36</v>
      </c>
      <c r="F39" s="20">
        <f>D39*E39</f>
        <v>710.6</v>
      </c>
      <c r="G39" s="19" t="s">
        <v>60</v>
      </c>
      <c r="H39" s="19">
        <v>85</v>
      </c>
      <c r="I39" s="20">
        <v>8.36</v>
      </c>
      <c r="J39" s="20">
        <f t="shared" si="6"/>
        <v>710.6</v>
      </c>
      <c r="K39" s="19"/>
      <c r="L39" s="25"/>
      <c r="N39" s="9"/>
    </row>
    <row r="40" s="10" customFormat="1" customHeight="1" spans="1:14">
      <c r="A40" s="19">
        <v>3.3</v>
      </c>
      <c r="B40" s="19" t="s">
        <v>61</v>
      </c>
      <c r="C40" s="30" t="s">
        <v>42</v>
      </c>
      <c r="D40" s="19">
        <v>1</v>
      </c>
      <c r="E40" s="19">
        <v>1500</v>
      </c>
      <c r="F40" s="20">
        <f t="shared" ref="F40:F45" si="7">D40*E40</f>
        <v>1500</v>
      </c>
      <c r="G40" s="19" t="s">
        <v>61</v>
      </c>
      <c r="H40" s="19">
        <v>1</v>
      </c>
      <c r="I40" s="19">
        <v>500</v>
      </c>
      <c r="J40" s="20">
        <f t="shared" si="6"/>
        <v>500</v>
      </c>
      <c r="K40" s="19"/>
      <c r="L40" s="25">
        <f t="shared" ref="L39:L76" si="8">J40-F40</f>
        <v>-1000</v>
      </c>
      <c r="N40" s="9"/>
    </row>
    <row r="41" s="10" customFormat="1" customHeight="1" spans="1:14">
      <c r="A41" s="19">
        <v>3.4</v>
      </c>
      <c r="B41" s="19" t="s">
        <v>62</v>
      </c>
      <c r="C41" s="30" t="s">
        <v>42</v>
      </c>
      <c r="D41" s="19">
        <v>1</v>
      </c>
      <c r="E41" s="19">
        <v>5000</v>
      </c>
      <c r="F41" s="20">
        <f t="shared" si="7"/>
        <v>5000</v>
      </c>
      <c r="G41" s="19" t="s">
        <v>62</v>
      </c>
      <c r="H41" s="19">
        <v>1</v>
      </c>
      <c r="I41" s="19">
        <v>5000</v>
      </c>
      <c r="J41" s="20">
        <f t="shared" si="6"/>
        <v>5000</v>
      </c>
      <c r="K41" s="19"/>
      <c r="L41" s="25"/>
      <c r="N41" s="9"/>
    </row>
    <row r="42" s="10" customFormat="1" customHeight="1" spans="1:14">
      <c r="A42" s="19">
        <v>3.5</v>
      </c>
      <c r="B42" s="19" t="s">
        <v>63</v>
      </c>
      <c r="C42" s="29" t="s">
        <v>28</v>
      </c>
      <c r="D42" s="19">
        <v>25</v>
      </c>
      <c r="E42" s="19">
        <v>51.55</v>
      </c>
      <c r="F42" s="20">
        <f t="shared" si="7"/>
        <v>1288.75</v>
      </c>
      <c r="G42" s="19" t="s">
        <v>63</v>
      </c>
      <c r="H42" s="19">
        <v>25</v>
      </c>
      <c r="I42" s="19">
        <v>36.91</v>
      </c>
      <c r="J42" s="20">
        <f t="shared" si="6"/>
        <v>922.75</v>
      </c>
      <c r="K42" s="19"/>
      <c r="L42" s="25">
        <f t="shared" si="8"/>
        <v>-366</v>
      </c>
      <c r="N42" s="9"/>
    </row>
    <row r="43" s="10" customFormat="1" customHeight="1" spans="1:14">
      <c r="A43" s="19">
        <v>3.6</v>
      </c>
      <c r="B43" s="19" t="s">
        <v>64</v>
      </c>
      <c r="C43" s="29" t="s">
        <v>28</v>
      </c>
      <c r="D43" s="19">
        <v>195.6</v>
      </c>
      <c r="E43" s="19">
        <v>67.56</v>
      </c>
      <c r="F43" s="20">
        <f t="shared" si="7"/>
        <v>13214.736</v>
      </c>
      <c r="G43" s="19" t="s">
        <v>64</v>
      </c>
      <c r="H43" s="19">
        <v>195.6</v>
      </c>
      <c r="I43" s="19">
        <v>69.74</v>
      </c>
      <c r="J43" s="20">
        <f t="shared" si="6"/>
        <v>13641.144</v>
      </c>
      <c r="K43" s="25">
        <f>J43-F43</f>
        <v>426.407999999998</v>
      </c>
      <c r="L43" s="12"/>
      <c r="N43" s="9"/>
    </row>
    <row r="44" s="10" customFormat="1" ht="28" customHeight="1" spans="1:14">
      <c r="A44" s="19">
        <v>3.7</v>
      </c>
      <c r="B44" s="19" t="s">
        <v>65</v>
      </c>
      <c r="C44" s="29" t="s">
        <v>28</v>
      </c>
      <c r="D44" s="19">
        <v>5.54</v>
      </c>
      <c r="E44" s="19">
        <v>758.61</v>
      </c>
      <c r="F44" s="20">
        <f t="shared" si="7"/>
        <v>4202.6994</v>
      </c>
      <c r="G44" s="19" t="s">
        <v>65</v>
      </c>
      <c r="H44" s="19">
        <v>5.54</v>
      </c>
      <c r="I44" s="19">
        <v>631.01</v>
      </c>
      <c r="J44" s="20">
        <f t="shared" si="6"/>
        <v>3495.7954</v>
      </c>
      <c r="K44" s="19"/>
      <c r="L44" s="25">
        <f t="shared" si="8"/>
        <v>-706.904</v>
      </c>
      <c r="N44" s="9"/>
    </row>
    <row r="45" s="10" customFormat="1" ht="28" customHeight="1" spans="1:14">
      <c r="A45" s="19">
        <v>3.8</v>
      </c>
      <c r="B45" s="19" t="s">
        <v>66</v>
      </c>
      <c r="C45" s="29" t="s">
        <v>28</v>
      </c>
      <c r="D45" s="19">
        <v>2.2</v>
      </c>
      <c r="E45" s="19">
        <v>658.32</v>
      </c>
      <c r="F45" s="20">
        <f t="shared" si="7"/>
        <v>1448.304</v>
      </c>
      <c r="G45" s="19" t="s">
        <v>66</v>
      </c>
      <c r="H45" s="19">
        <v>2.2</v>
      </c>
      <c r="I45" s="19">
        <v>658.32</v>
      </c>
      <c r="J45" s="20">
        <f t="shared" si="6"/>
        <v>1448.304</v>
      </c>
      <c r="K45" s="19"/>
      <c r="L45" s="25"/>
      <c r="N45" s="9"/>
    </row>
    <row r="46" s="10" customFormat="1" ht="28" customHeight="1" spans="1:14">
      <c r="A46" s="19">
        <v>3.9</v>
      </c>
      <c r="B46" s="19" t="s">
        <v>67</v>
      </c>
      <c r="C46" s="29" t="s">
        <v>28</v>
      </c>
      <c r="D46" s="19">
        <v>1.9</v>
      </c>
      <c r="E46" s="19">
        <v>843.99</v>
      </c>
      <c r="F46" s="20">
        <f t="shared" ref="F46:F55" si="9">D46*E46</f>
        <v>1603.581</v>
      </c>
      <c r="G46" s="19" t="s">
        <v>67</v>
      </c>
      <c r="H46" s="19">
        <v>1.9</v>
      </c>
      <c r="I46" s="19">
        <v>631.01</v>
      </c>
      <c r="J46" s="20">
        <f t="shared" si="6"/>
        <v>1198.919</v>
      </c>
      <c r="K46" s="19"/>
      <c r="L46" s="25">
        <f t="shared" si="8"/>
        <v>-404.662</v>
      </c>
      <c r="N46" s="9"/>
    </row>
    <row r="47" s="10" customFormat="1" customHeight="1" spans="1:17">
      <c r="A47" s="32">
        <v>3.1</v>
      </c>
      <c r="B47" s="19" t="s">
        <v>68</v>
      </c>
      <c r="C47" s="29" t="s">
        <v>28</v>
      </c>
      <c r="D47" s="19">
        <v>3.9</v>
      </c>
      <c r="E47" s="19">
        <v>833.94</v>
      </c>
      <c r="F47" s="20">
        <f t="shared" si="9"/>
        <v>3252.366</v>
      </c>
      <c r="G47" s="19" t="s">
        <v>68</v>
      </c>
      <c r="H47" s="19">
        <v>3.9</v>
      </c>
      <c r="I47" s="19">
        <v>768.55</v>
      </c>
      <c r="J47" s="20">
        <f t="shared" si="6"/>
        <v>2997.345</v>
      </c>
      <c r="K47" s="19"/>
      <c r="L47" s="25">
        <f t="shared" si="8"/>
        <v>-255.021</v>
      </c>
      <c r="N47" s="9"/>
      <c r="O47" s="10">
        <v>18</v>
      </c>
      <c r="P47" s="10">
        <v>0.16</v>
      </c>
      <c r="Q47" s="10">
        <v>1.5</v>
      </c>
    </row>
    <row r="48" s="10" customFormat="1" customHeight="1" spans="1:16">
      <c r="A48" s="19">
        <v>3.11</v>
      </c>
      <c r="B48" s="19" t="s">
        <v>69</v>
      </c>
      <c r="C48" s="29" t="s">
        <v>28</v>
      </c>
      <c r="D48" s="20">
        <v>14.85</v>
      </c>
      <c r="E48" s="19">
        <v>611.64</v>
      </c>
      <c r="F48" s="20">
        <f t="shared" si="9"/>
        <v>9082.854</v>
      </c>
      <c r="G48" s="19" t="s">
        <v>69</v>
      </c>
      <c r="H48" s="20">
        <v>14.85</v>
      </c>
      <c r="I48" s="19">
        <v>611.64</v>
      </c>
      <c r="J48" s="20">
        <f t="shared" si="6"/>
        <v>9082.854</v>
      </c>
      <c r="K48" s="19"/>
      <c r="L48" s="25"/>
      <c r="N48" s="9">
        <v>0.5</v>
      </c>
      <c r="O48" s="10">
        <v>0.9</v>
      </c>
      <c r="P48" s="10">
        <v>37</v>
      </c>
    </row>
    <row r="49" s="10" customFormat="1" customHeight="1" spans="1:14">
      <c r="A49" s="32">
        <v>3.12</v>
      </c>
      <c r="B49" s="19" t="s">
        <v>70</v>
      </c>
      <c r="C49" s="29" t="s">
        <v>28</v>
      </c>
      <c r="D49" s="20">
        <v>6.2</v>
      </c>
      <c r="E49" s="19">
        <v>732.18</v>
      </c>
      <c r="F49" s="20">
        <f t="shared" si="9"/>
        <v>4539.516</v>
      </c>
      <c r="G49" s="19" t="s">
        <v>70</v>
      </c>
      <c r="H49" s="20">
        <v>6.2</v>
      </c>
      <c r="I49" s="19">
        <v>708.78</v>
      </c>
      <c r="J49" s="20">
        <f t="shared" si="6"/>
        <v>4394.436</v>
      </c>
      <c r="K49" s="12"/>
      <c r="L49" s="25">
        <f t="shared" si="8"/>
        <v>-145.08</v>
      </c>
      <c r="N49" s="9"/>
    </row>
    <row r="50" s="10" customFormat="1" customHeight="1" spans="1:14">
      <c r="A50" s="19">
        <v>3.13</v>
      </c>
      <c r="B50" s="19" t="s">
        <v>71</v>
      </c>
      <c r="C50" s="19" t="s">
        <v>42</v>
      </c>
      <c r="D50" s="19">
        <v>1</v>
      </c>
      <c r="E50" s="19">
        <v>5000</v>
      </c>
      <c r="F50" s="20">
        <f t="shared" si="9"/>
        <v>5000</v>
      </c>
      <c r="G50" s="19" t="s">
        <v>71</v>
      </c>
      <c r="H50" s="19">
        <v>1</v>
      </c>
      <c r="I50" s="19">
        <v>5000</v>
      </c>
      <c r="J50" s="20">
        <f t="shared" si="6"/>
        <v>5000</v>
      </c>
      <c r="K50" s="19"/>
      <c r="L50" s="25"/>
      <c r="N50" s="9"/>
    </row>
    <row r="51" s="10" customFormat="1" ht="35" customHeight="1" spans="1:14">
      <c r="A51" s="32">
        <v>3.14</v>
      </c>
      <c r="B51" s="19" t="s">
        <v>72</v>
      </c>
      <c r="C51" s="19" t="s">
        <v>53</v>
      </c>
      <c r="D51" s="19">
        <v>90</v>
      </c>
      <c r="E51" s="34">
        <v>8900</v>
      </c>
      <c r="F51" s="20">
        <f t="shared" si="9"/>
        <v>801000</v>
      </c>
      <c r="G51" s="19" t="s">
        <v>72</v>
      </c>
      <c r="H51" s="19">
        <v>90</v>
      </c>
      <c r="I51" s="34">
        <v>5222.37</v>
      </c>
      <c r="J51" s="20">
        <f t="shared" si="6"/>
        <v>470013.3</v>
      </c>
      <c r="K51" s="19"/>
      <c r="L51" s="25">
        <f t="shared" si="8"/>
        <v>-330986.7</v>
      </c>
      <c r="N51" s="9"/>
    </row>
    <row r="52" s="10" customFormat="1" ht="31" customHeight="1" spans="1:14">
      <c r="A52" s="19">
        <v>3.15</v>
      </c>
      <c r="B52" s="19" t="s">
        <v>73</v>
      </c>
      <c r="C52" s="19" t="s">
        <v>42</v>
      </c>
      <c r="D52" s="19">
        <v>1</v>
      </c>
      <c r="E52" s="19">
        <v>2000</v>
      </c>
      <c r="F52" s="20">
        <f t="shared" si="9"/>
        <v>2000</v>
      </c>
      <c r="G52" s="19" t="s">
        <v>73</v>
      </c>
      <c r="H52" s="19">
        <v>1</v>
      </c>
      <c r="I52" s="19">
        <v>500</v>
      </c>
      <c r="J52" s="20">
        <f t="shared" si="6"/>
        <v>500</v>
      </c>
      <c r="K52" s="19"/>
      <c r="L52" s="25">
        <f t="shared" si="8"/>
        <v>-1500</v>
      </c>
      <c r="N52" s="9"/>
    </row>
    <row r="53" s="10" customFormat="1" ht="31" customHeight="1" spans="1:14">
      <c r="A53" s="32">
        <v>3.16</v>
      </c>
      <c r="B53" s="19" t="s">
        <v>74</v>
      </c>
      <c r="C53" s="38" t="s">
        <v>75</v>
      </c>
      <c r="D53" s="19">
        <v>1</v>
      </c>
      <c r="E53" s="19">
        <v>10000</v>
      </c>
      <c r="F53" s="20">
        <f t="shared" si="9"/>
        <v>10000</v>
      </c>
      <c r="G53" s="19" t="s">
        <v>74</v>
      </c>
      <c r="H53" s="19">
        <v>1</v>
      </c>
      <c r="I53" s="19">
        <v>10000</v>
      </c>
      <c r="J53" s="20">
        <f t="shared" si="6"/>
        <v>10000</v>
      </c>
      <c r="K53" s="19"/>
      <c r="L53" s="25"/>
      <c r="N53" s="9"/>
    </row>
    <row r="54" s="10" customFormat="1" ht="31" customHeight="1" spans="1:14">
      <c r="A54" s="19">
        <v>3.17</v>
      </c>
      <c r="B54" s="19" t="s">
        <v>39</v>
      </c>
      <c r="C54" s="29" t="s">
        <v>28</v>
      </c>
      <c r="D54" s="19">
        <v>1</v>
      </c>
      <c r="E54" s="19">
        <v>834.33</v>
      </c>
      <c r="F54" s="20">
        <f t="shared" si="9"/>
        <v>834.33</v>
      </c>
      <c r="G54" s="19" t="s">
        <v>39</v>
      </c>
      <c r="H54" s="19">
        <v>1</v>
      </c>
      <c r="I54" s="19">
        <v>727.87</v>
      </c>
      <c r="J54" s="20">
        <f t="shared" si="6"/>
        <v>727.87</v>
      </c>
      <c r="K54" s="19"/>
      <c r="L54" s="25">
        <f t="shared" si="8"/>
        <v>-106.46</v>
      </c>
      <c r="N54" s="9"/>
    </row>
    <row r="55" s="10" customFormat="1" ht="35" customHeight="1" spans="1:14">
      <c r="A55" s="32">
        <v>3.18</v>
      </c>
      <c r="B55" s="30" t="s">
        <v>76</v>
      </c>
      <c r="C55" s="19" t="s">
        <v>77</v>
      </c>
      <c r="D55" s="12">
        <v>1</v>
      </c>
      <c r="E55" s="12">
        <v>15000</v>
      </c>
      <c r="F55" s="20">
        <f t="shared" si="9"/>
        <v>15000</v>
      </c>
      <c r="G55" s="30" t="s">
        <v>76</v>
      </c>
      <c r="H55" s="12">
        <v>1</v>
      </c>
      <c r="I55" s="12">
        <v>15000</v>
      </c>
      <c r="J55" s="20">
        <f t="shared" si="6"/>
        <v>15000</v>
      </c>
      <c r="K55" s="19"/>
      <c r="L55" s="25"/>
      <c r="N55" s="9"/>
    </row>
    <row r="56" s="10" customFormat="1" ht="19.5" customHeight="1" spans="1:16">
      <c r="A56" s="19">
        <v>3.19</v>
      </c>
      <c r="B56" s="19" t="s">
        <v>78</v>
      </c>
      <c r="C56" s="19" t="s">
        <v>79</v>
      </c>
      <c r="D56" s="20">
        <v>0.15</v>
      </c>
      <c r="E56" s="12">
        <v>7045.37</v>
      </c>
      <c r="F56" s="20">
        <f t="shared" ref="F56:F62" si="10">D56*E56</f>
        <v>1056.8055</v>
      </c>
      <c r="G56" s="19" t="s">
        <v>78</v>
      </c>
      <c r="H56" s="20">
        <v>0.15</v>
      </c>
      <c r="I56" s="12">
        <v>7045.37</v>
      </c>
      <c r="J56" s="20">
        <f t="shared" si="6"/>
        <v>1056.8055</v>
      </c>
      <c r="K56" s="19"/>
      <c r="L56" s="25"/>
      <c r="N56" s="9"/>
      <c r="P56" s="10">
        <v>2.64</v>
      </c>
    </row>
    <row r="57" s="10" customFormat="1" ht="19.5" customHeight="1" spans="1:14">
      <c r="A57" s="21">
        <v>4</v>
      </c>
      <c r="B57" s="21" t="s">
        <v>80</v>
      </c>
      <c r="C57" s="33" t="s">
        <v>16</v>
      </c>
      <c r="D57" s="21"/>
      <c r="E57" s="21"/>
      <c r="F57" s="22">
        <f>SUM(F58:F61)</f>
        <v>68000</v>
      </c>
      <c r="G57" s="21" t="s">
        <v>80</v>
      </c>
      <c r="H57" s="21"/>
      <c r="I57" s="21"/>
      <c r="J57" s="22">
        <f>SUM(J58:J61)</f>
        <v>68000</v>
      </c>
      <c r="K57" s="19"/>
      <c r="L57" s="25"/>
      <c r="N57" s="9"/>
    </row>
    <row r="58" s="10" customFormat="1" ht="19.5" customHeight="1" spans="1:14">
      <c r="A58" s="12">
        <v>4.1</v>
      </c>
      <c r="B58" s="39" t="s">
        <v>81</v>
      </c>
      <c r="C58" s="19" t="s">
        <v>51</v>
      </c>
      <c r="D58" s="20">
        <v>6</v>
      </c>
      <c r="E58" s="19">
        <v>2500</v>
      </c>
      <c r="F58" s="20">
        <f t="shared" si="10"/>
        <v>15000</v>
      </c>
      <c r="G58" s="39" t="s">
        <v>81</v>
      </c>
      <c r="H58" s="20">
        <v>6</v>
      </c>
      <c r="I58" s="19">
        <v>2500</v>
      </c>
      <c r="J58" s="20">
        <f t="shared" ref="J58:J61" si="11">H58*I58</f>
        <v>15000</v>
      </c>
      <c r="K58" s="19"/>
      <c r="L58" s="25"/>
      <c r="N58" s="9"/>
    </row>
    <row r="59" s="10" customFormat="1" ht="19.5" customHeight="1" spans="1:14">
      <c r="A59" s="12">
        <v>4.2</v>
      </c>
      <c r="B59" s="19" t="s">
        <v>82</v>
      </c>
      <c r="C59" s="19" t="s">
        <v>53</v>
      </c>
      <c r="D59" s="20">
        <v>90</v>
      </c>
      <c r="E59" s="19">
        <v>350</v>
      </c>
      <c r="F59" s="20">
        <f t="shared" si="10"/>
        <v>31500</v>
      </c>
      <c r="G59" s="19" t="s">
        <v>82</v>
      </c>
      <c r="H59" s="20">
        <v>90</v>
      </c>
      <c r="I59" s="19">
        <v>350</v>
      </c>
      <c r="J59" s="20">
        <f t="shared" si="11"/>
        <v>31500</v>
      </c>
      <c r="K59" s="19"/>
      <c r="L59" s="25"/>
      <c r="N59" s="9"/>
    </row>
    <row r="60" s="10" customFormat="1" ht="19.5" customHeight="1" spans="1:14">
      <c r="A60" s="12">
        <v>4.3</v>
      </c>
      <c r="B60" s="19" t="s">
        <v>83</v>
      </c>
      <c r="C60" s="19" t="s">
        <v>51</v>
      </c>
      <c r="D60" s="20">
        <v>1</v>
      </c>
      <c r="E60" s="19">
        <v>16500</v>
      </c>
      <c r="F60" s="20">
        <f t="shared" si="10"/>
        <v>16500</v>
      </c>
      <c r="G60" s="19" t="s">
        <v>83</v>
      </c>
      <c r="H60" s="20">
        <v>1</v>
      </c>
      <c r="I60" s="19">
        <v>16500</v>
      </c>
      <c r="J60" s="20">
        <f t="shared" si="11"/>
        <v>16500</v>
      </c>
      <c r="K60" s="19"/>
      <c r="L60" s="25"/>
      <c r="N60" s="9"/>
    </row>
    <row r="61" s="10" customFormat="1" ht="19.5" customHeight="1" spans="1:14">
      <c r="A61" s="12">
        <v>4.4</v>
      </c>
      <c r="B61" s="39" t="s">
        <v>84</v>
      </c>
      <c r="C61" s="19" t="s">
        <v>42</v>
      </c>
      <c r="D61" s="20">
        <v>1</v>
      </c>
      <c r="E61" s="19">
        <v>5000</v>
      </c>
      <c r="F61" s="20">
        <f t="shared" si="10"/>
        <v>5000</v>
      </c>
      <c r="G61" s="39" t="s">
        <v>84</v>
      </c>
      <c r="H61" s="20">
        <v>1</v>
      </c>
      <c r="I61" s="19">
        <v>5000</v>
      </c>
      <c r="J61" s="20">
        <f t="shared" si="11"/>
        <v>5000</v>
      </c>
      <c r="K61" s="19"/>
      <c r="L61" s="25"/>
      <c r="N61" s="9"/>
    </row>
    <row r="62" customHeight="1" spans="1:12">
      <c r="A62" s="21">
        <v>5</v>
      </c>
      <c r="B62" s="21" t="s">
        <v>85</v>
      </c>
      <c r="C62" s="33" t="s">
        <v>16</v>
      </c>
      <c r="D62" s="21"/>
      <c r="E62" s="21"/>
      <c r="F62" s="22">
        <f>SUM(F63:F69)</f>
        <v>119100</v>
      </c>
      <c r="G62" s="21" t="s">
        <v>85</v>
      </c>
      <c r="H62" s="21"/>
      <c r="I62" s="21"/>
      <c r="J62" s="22">
        <f>SUM(J63:J69)</f>
        <v>103330</v>
      </c>
      <c r="K62" s="19"/>
      <c r="L62" s="25">
        <f t="shared" si="8"/>
        <v>-15770</v>
      </c>
    </row>
    <row r="63" customHeight="1" spans="1:12">
      <c r="A63" s="19">
        <v>5.1</v>
      </c>
      <c r="B63" s="19" t="s">
        <v>86</v>
      </c>
      <c r="C63" s="19" t="s">
        <v>42</v>
      </c>
      <c r="D63" s="19">
        <v>1</v>
      </c>
      <c r="E63" s="19">
        <v>6000</v>
      </c>
      <c r="F63" s="20">
        <f t="shared" ref="F63:F69" si="12">D63*E63</f>
        <v>6000</v>
      </c>
      <c r="G63" s="19" t="s">
        <v>86</v>
      </c>
      <c r="H63" s="19">
        <v>1</v>
      </c>
      <c r="I63" s="19">
        <v>5000</v>
      </c>
      <c r="J63" s="20">
        <f t="shared" ref="J63:J69" si="13">H63*I63</f>
        <v>5000</v>
      </c>
      <c r="K63" s="19"/>
      <c r="L63" s="25">
        <f t="shared" si="8"/>
        <v>-1000</v>
      </c>
    </row>
    <row r="64" customHeight="1" spans="1:15">
      <c r="A64" s="12">
        <v>5.2</v>
      </c>
      <c r="B64" s="19" t="s">
        <v>87</v>
      </c>
      <c r="C64" s="29" t="s">
        <v>88</v>
      </c>
      <c r="D64" s="20">
        <v>30</v>
      </c>
      <c r="E64" s="19">
        <v>2500</v>
      </c>
      <c r="F64" s="20">
        <f t="shared" si="12"/>
        <v>75000</v>
      </c>
      <c r="G64" s="19" t="s">
        <v>87</v>
      </c>
      <c r="H64" s="20">
        <v>30</v>
      </c>
      <c r="I64" s="19">
        <v>2300</v>
      </c>
      <c r="J64" s="20">
        <f t="shared" si="13"/>
        <v>69000</v>
      </c>
      <c r="K64" s="19"/>
      <c r="L64" s="25">
        <f t="shared" si="8"/>
        <v>-6000</v>
      </c>
      <c r="N64" s="9">
        <v>3.24</v>
      </c>
      <c r="O64" s="10">
        <v>3.24</v>
      </c>
    </row>
    <row r="65" customHeight="1" spans="1:12">
      <c r="A65" s="19">
        <v>5.3</v>
      </c>
      <c r="B65" s="19" t="s">
        <v>89</v>
      </c>
      <c r="C65" s="31" t="s">
        <v>90</v>
      </c>
      <c r="D65" s="20">
        <v>14</v>
      </c>
      <c r="E65" s="19">
        <v>300</v>
      </c>
      <c r="F65" s="20">
        <f t="shared" si="12"/>
        <v>4200</v>
      </c>
      <c r="G65" s="19" t="s">
        <v>89</v>
      </c>
      <c r="H65" s="20">
        <v>14</v>
      </c>
      <c r="I65" s="19">
        <v>300</v>
      </c>
      <c r="J65" s="20">
        <f t="shared" si="13"/>
        <v>4200</v>
      </c>
      <c r="K65" s="19"/>
      <c r="L65" s="25"/>
    </row>
    <row r="66" customHeight="1" spans="1:12">
      <c r="A66" s="19">
        <v>5.4</v>
      </c>
      <c r="B66" s="19" t="s">
        <v>91</v>
      </c>
      <c r="C66" s="19" t="s">
        <v>42</v>
      </c>
      <c r="D66" s="20">
        <v>1</v>
      </c>
      <c r="E66" s="19">
        <v>1500</v>
      </c>
      <c r="F66" s="20">
        <f t="shared" si="12"/>
        <v>1500</v>
      </c>
      <c r="G66" s="19" t="s">
        <v>91</v>
      </c>
      <c r="H66" s="20">
        <v>1</v>
      </c>
      <c r="I66" s="19">
        <v>1500</v>
      </c>
      <c r="J66" s="20">
        <f t="shared" si="13"/>
        <v>1500</v>
      </c>
      <c r="K66" s="19"/>
      <c r="L66" s="25"/>
    </row>
    <row r="67" customHeight="1" spans="1:12">
      <c r="A67" s="19">
        <v>5.5</v>
      </c>
      <c r="B67" s="19" t="s">
        <v>92</v>
      </c>
      <c r="C67" s="19" t="s">
        <v>51</v>
      </c>
      <c r="D67" s="20">
        <v>4</v>
      </c>
      <c r="E67" s="19">
        <v>600</v>
      </c>
      <c r="F67" s="20">
        <f t="shared" si="12"/>
        <v>2400</v>
      </c>
      <c r="G67" s="19" t="s">
        <v>92</v>
      </c>
      <c r="H67" s="20">
        <v>4</v>
      </c>
      <c r="I67" s="19">
        <v>600</v>
      </c>
      <c r="J67" s="20">
        <f t="shared" si="13"/>
        <v>2400</v>
      </c>
      <c r="K67" s="19"/>
      <c r="L67" s="25"/>
    </row>
    <row r="68" ht="29" customHeight="1" spans="1:12">
      <c r="A68" s="19">
        <v>5.6</v>
      </c>
      <c r="B68" s="19" t="s">
        <v>93</v>
      </c>
      <c r="C68" s="31" t="s">
        <v>42</v>
      </c>
      <c r="D68" s="20">
        <v>4</v>
      </c>
      <c r="E68" s="19">
        <v>1000</v>
      </c>
      <c r="F68" s="20">
        <f t="shared" si="12"/>
        <v>4000</v>
      </c>
      <c r="G68" s="19" t="s">
        <v>93</v>
      </c>
      <c r="H68" s="20">
        <v>4</v>
      </c>
      <c r="I68" s="19">
        <v>100</v>
      </c>
      <c r="J68" s="20">
        <f t="shared" si="13"/>
        <v>400</v>
      </c>
      <c r="K68" s="19"/>
      <c r="L68" s="25">
        <f t="shared" si="8"/>
        <v>-3600</v>
      </c>
    </row>
    <row r="69" ht="29" customHeight="1" spans="1:12">
      <c r="A69" s="19">
        <v>5.7</v>
      </c>
      <c r="B69" s="19" t="s">
        <v>94</v>
      </c>
      <c r="C69" s="29" t="s">
        <v>28</v>
      </c>
      <c r="D69" s="19">
        <v>1000</v>
      </c>
      <c r="E69" s="19">
        <v>26</v>
      </c>
      <c r="F69" s="20">
        <f t="shared" si="12"/>
        <v>26000</v>
      </c>
      <c r="G69" s="19" t="s">
        <v>95</v>
      </c>
      <c r="H69" s="19">
        <v>1000</v>
      </c>
      <c r="I69" s="19">
        <v>20.83</v>
      </c>
      <c r="J69" s="20">
        <f t="shared" si="13"/>
        <v>20830</v>
      </c>
      <c r="K69" s="19"/>
      <c r="L69" s="25">
        <f t="shared" si="8"/>
        <v>-5170</v>
      </c>
    </row>
    <row r="70" ht="29" customHeight="1" spans="1:17">
      <c r="A70" s="12" t="s">
        <v>96</v>
      </c>
      <c r="B70" s="48" t="s">
        <v>97</v>
      </c>
      <c r="C70" s="30" t="s">
        <v>16</v>
      </c>
      <c r="D70" s="48"/>
      <c r="E70" s="48"/>
      <c r="F70" s="49">
        <f t="shared" ref="F70:F74" si="14">F71</f>
        <v>53053.020345</v>
      </c>
      <c r="G70" s="48" t="s">
        <v>97</v>
      </c>
      <c r="H70" s="48"/>
      <c r="I70" s="48"/>
      <c r="J70" s="49">
        <f t="shared" ref="J70:J74" si="15">J71</f>
        <v>20319.056454</v>
      </c>
      <c r="K70" s="19"/>
      <c r="L70" s="25">
        <f t="shared" si="8"/>
        <v>-32733.963891</v>
      </c>
      <c r="Q70" s="10" t="e">
        <f>SUM(#REF!)</f>
        <v>#REF!</v>
      </c>
    </row>
    <row r="71" ht="29" customHeight="1" spans="1:12">
      <c r="A71" s="30">
        <v>1</v>
      </c>
      <c r="B71" s="30" t="s">
        <v>98</v>
      </c>
      <c r="C71" s="30" t="s">
        <v>16</v>
      </c>
      <c r="D71" s="20">
        <f>F4</f>
        <v>1768434.0115</v>
      </c>
      <c r="E71" s="50">
        <v>0.03</v>
      </c>
      <c r="F71" s="20">
        <f>D71*E71</f>
        <v>53053.020345</v>
      </c>
      <c r="G71" s="30" t="s">
        <v>99</v>
      </c>
      <c r="H71" s="20">
        <f>J4</f>
        <v>1354603.7636</v>
      </c>
      <c r="I71" s="50">
        <v>0.015</v>
      </c>
      <c r="J71" s="20">
        <f t="shared" ref="J71:J75" si="16">H71*I71</f>
        <v>20319.056454</v>
      </c>
      <c r="K71" s="19"/>
      <c r="L71" s="25">
        <f t="shared" si="8"/>
        <v>-32733.963891</v>
      </c>
    </row>
    <row r="72" ht="29" customHeight="1" spans="1:12">
      <c r="A72" s="48" t="s">
        <v>100</v>
      </c>
      <c r="B72" s="48" t="s">
        <v>101</v>
      </c>
      <c r="C72" s="30" t="s">
        <v>16</v>
      </c>
      <c r="D72" s="48"/>
      <c r="E72" s="48"/>
      <c r="F72" s="22">
        <f t="shared" si="14"/>
        <v>29143.79250952</v>
      </c>
      <c r="G72" s="48" t="s">
        <v>101</v>
      </c>
      <c r="H72" s="48"/>
      <c r="I72" s="48"/>
      <c r="J72" s="22">
        <f t="shared" si="15"/>
        <v>21998.765120864</v>
      </c>
      <c r="K72" s="19"/>
      <c r="L72" s="25">
        <f t="shared" si="8"/>
        <v>-7145.027388656</v>
      </c>
    </row>
    <row r="73" ht="29" customHeight="1" spans="1:12">
      <c r="A73" s="30">
        <v>1</v>
      </c>
      <c r="B73" s="30" t="s">
        <v>102</v>
      </c>
      <c r="C73" s="30" t="s">
        <v>16</v>
      </c>
      <c r="D73" s="20">
        <f>D71+F71</f>
        <v>1821487.031845</v>
      </c>
      <c r="E73" s="50">
        <v>0.016</v>
      </c>
      <c r="F73" s="20">
        <f>D73*E73</f>
        <v>29143.79250952</v>
      </c>
      <c r="G73" s="30" t="s">
        <v>102</v>
      </c>
      <c r="H73" s="20">
        <f>H71+J71</f>
        <v>1374922.820054</v>
      </c>
      <c r="I73" s="50">
        <v>0.016</v>
      </c>
      <c r="J73" s="20">
        <f t="shared" si="16"/>
        <v>21998.765120864</v>
      </c>
      <c r="K73" s="19"/>
      <c r="L73" s="25">
        <f t="shared" si="8"/>
        <v>-7145.027388656</v>
      </c>
    </row>
    <row r="74" customHeight="1" spans="1:12">
      <c r="A74" s="30" t="s">
        <v>103</v>
      </c>
      <c r="B74" s="48" t="s">
        <v>104</v>
      </c>
      <c r="C74" s="30" t="s">
        <v>16</v>
      </c>
      <c r="D74" s="20"/>
      <c r="E74" s="50"/>
      <c r="F74" s="22">
        <f t="shared" si="14"/>
        <v>8652.06340126375</v>
      </c>
      <c r="G74" s="48" t="s">
        <v>104</v>
      </c>
      <c r="H74" s="20"/>
      <c r="I74" s="50"/>
      <c r="J74" s="22">
        <f t="shared" si="15"/>
        <v>6530.8833952565</v>
      </c>
      <c r="K74" s="19"/>
      <c r="L74" s="25">
        <f t="shared" si="8"/>
        <v>-2121.18000600725</v>
      </c>
    </row>
    <row r="75" ht="30" customHeight="1" spans="1:12">
      <c r="A75" s="30">
        <v>1</v>
      </c>
      <c r="B75" s="30" t="s">
        <v>105</v>
      </c>
      <c r="C75" s="30" t="s">
        <v>16</v>
      </c>
      <c r="D75" s="20">
        <f>D73</f>
        <v>1821487.031845</v>
      </c>
      <c r="E75" s="51">
        <v>0.00475</v>
      </c>
      <c r="F75" s="20">
        <f>D75*E75</f>
        <v>8652.06340126375</v>
      </c>
      <c r="G75" s="30" t="s">
        <v>105</v>
      </c>
      <c r="H75" s="20">
        <f>H73</f>
        <v>1374922.820054</v>
      </c>
      <c r="I75" s="51">
        <v>0.00475</v>
      </c>
      <c r="J75" s="20">
        <f t="shared" si="16"/>
        <v>6530.8833952565</v>
      </c>
      <c r="K75" s="19"/>
      <c r="L75" s="25">
        <f t="shared" si="8"/>
        <v>-2121.18000600725</v>
      </c>
    </row>
    <row r="76" customHeight="1" spans="1:13">
      <c r="A76" s="30" t="s">
        <v>106</v>
      </c>
      <c r="B76" s="30" t="s">
        <v>107</v>
      </c>
      <c r="C76" s="30" t="s">
        <v>16</v>
      </c>
      <c r="D76" s="20"/>
      <c r="E76" s="50"/>
      <c r="F76" s="52">
        <f>F4+F70+F72+F74</f>
        <v>1859282.88775578</v>
      </c>
      <c r="G76" s="30" t="s">
        <v>107</v>
      </c>
      <c r="H76" s="20"/>
      <c r="I76" s="50"/>
      <c r="J76" s="52">
        <f>J4+J70+J72+J74</f>
        <v>1403452.46857012</v>
      </c>
      <c r="K76" s="55">
        <f>SUM(K6:K75)</f>
        <v>6077.688</v>
      </c>
      <c r="L76" s="36">
        <f>J76-F76-K76</f>
        <v>-461908.107185664</v>
      </c>
      <c r="M76" s="54">
        <f>L76+K76</f>
        <v>-455830.419185664</v>
      </c>
    </row>
    <row r="77" customHeight="1" spans="1:8">
      <c r="A77" s="53"/>
      <c r="H77" s="54">
        <f>F76-J76</f>
        <v>455830.419185664</v>
      </c>
    </row>
    <row r="81" customHeight="1" spans="14:17">
      <c r="N81" s="56"/>
      <c r="O81" s="57" t="s">
        <v>108</v>
      </c>
      <c r="P81" s="57" t="s">
        <v>109</v>
      </c>
      <c r="Q81" s="57" t="s">
        <v>110</v>
      </c>
    </row>
    <row r="82" customHeight="1" spans="14:17">
      <c r="N82" s="58" t="s">
        <v>111</v>
      </c>
      <c r="O82" s="12">
        <v>90.43</v>
      </c>
      <c r="P82" s="12">
        <v>1.6</v>
      </c>
      <c r="Q82" s="12">
        <f t="shared" ref="Q82:Q84" si="17">O82*P82</f>
        <v>144.688</v>
      </c>
    </row>
    <row r="83" customHeight="1" spans="14:17">
      <c r="N83" s="58" t="s">
        <v>112</v>
      </c>
      <c r="O83" s="12">
        <v>134</v>
      </c>
      <c r="P83" s="12">
        <v>1.4</v>
      </c>
      <c r="Q83" s="12">
        <f t="shared" si="17"/>
        <v>187.6</v>
      </c>
    </row>
    <row r="84" customHeight="1" spans="14:17">
      <c r="N84" s="59" t="s">
        <v>113</v>
      </c>
      <c r="O84" s="60">
        <v>72.82</v>
      </c>
      <c r="P84" s="60">
        <v>1.7</v>
      </c>
      <c r="Q84" s="60">
        <f t="shared" si="17"/>
        <v>123.794</v>
      </c>
    </row>
  </sheetData>
  <mergeCells count="3">
    <mergeCell ref="A1:L1"/>
    <mergeCell ref="A2:F2"/>
    <mergeCell ref="G2:J2"/>
  </mergeCells>
  <pageMargins left="0.7" right="0.7" top="0.75" bottom="0.75" header="0.3" footer="0.3"/>
  <pageSetup paperSize="9" scale="73" orientation="landscape"/>
  <headerFooter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opLeftCell="A4" workbookViewId="0">
      <selection activeCell="H35" sqref="H35"/>
    </sheetView>
  </sheetViews>
  <sheetFormatPr defaultColWidth="9" defaultRowHeight="13.5"/>
  <cols>
    <col min="11" max="11" width="9.375"/>
  </cols>
  <sheetData>
    <row r="1" spans="2:3">
      <c r="B1" t="s">
        <v>114</v>
      </c>
      <c r="C1">
        <f>1.74*1.74*1.2-1.32*1.32</f>
        <v>1.89072</v>
      </c>
    </row>
    <row r="3" spans="2:2">
      <c r="B3" t="s">
        <v>115</v>
      </c>
    </row>
    <row r="4" spans="3:6">
      <c r="C4">
        <v>5.32</v>
      </c>
      <c r="D4">
        <f>AVERAGE(C4:C5)</f>
        <v>6.83</v>
      </c>
      <c r="E4">
        <v>31</v>
      </c>
      <c r="F4">
        <f>D4*E4</f>
        <v>211.73</v>
      </c>
    </row>
    <row r="5" spans="3:3">
      <c r="C5">
        <v>8.34</v>
      </c>
    </row>
    <row r="6" spans="2:5">
      <c r="B6" t="s">
        <v>116</v>
      </c>
      <c r="C6">
        <v>63</v>
      </c>
      <c r="D6">
        <v>0.3</v>
      </c>
      <c r="E6">
        <f>D6*C6</f>
        <v>18.9</v>
      </c>
    </row>
    <row r="7" spans="3:5">
      <c r="C7">
        <f>179-C6</f>
        <v>116</v>
      </c>
      <c r="D7">
        <v>0.2</v>
      </c>
      <c r="E7">
        <f>D7*C7</f>
        <v>23.2</v>
      </c>
    </row>
    <row r="8" spans="5:5">
      <c r="E8">
        <f>SUM(E6:E7)</f>
        <v>42.1</v>
      </c>
    </row>
    <row r="10" spans="2:6">
      <c r="B10" t="s">
        <v>117</v>
      </c>
      <c r="C10">
        <v>0.57</v>
      </c>
      <c r="D10">
        <v>0.4</v>
      </c>
      <c r="E10">
        <v>17</v>
      </c>
      <c r="F10">
        <f>E10*D10*C10</f>
        <v>3.876</v>
      </c>
    </row>
    <row r="12" spans="2:6">
      <c r="B12" t="s">
        <v>118</v>
      </c>
      <c r="C12">
        <v>33</v>
      </c>
      <c r="D12">
        <v>0.5</v>
      </c>
      <c r="E12">
        <v>0.9</v>
      </c>
      <c r="F12">
        <f>E12*D12*C12</f>
        <v>14.85</v>
      </c>
    </row>
    <row r="14" ht="14.25" spans="2:9">
      <c r="B14" s="1"/>
      <c r="C14" s="2"/>
      <c r="D14" s="2"/>
      <c r="E14" s="2"/>
      <c r="F14" s="2"/>
      <c r="G14" s="2"/>
      <c r="H14" s="2"/>
      <c r="I14" s="2"/>
    </row>
    <row r="15" ht="14.25" spans="2:9">
      <c r="B15" s="2"/>
      <c r="C15" s="2"/>
      <c r="D15" s="2"/>
      <c r="E15" s="2"/>
      <c r="F15" s="2"/>
      <c r="G15" s="2"/>
      <c r="H15" s="2"/>
      <c r="I15" s="3"/>
    </row>
    <row r="16" ht="14.25" spans="2:9">
      <c r="B16" s="2"/>
      <c r="C16" s="3"/>
      <c r="D16" s="3"/>
      <c r="E16" s="4"/>
      <c r="F16" s="3"/>
      <c r="G16" s="3"/>
      <c r="H16" s="4"/>
      <c r="I16" s="4"/>
    </row>
    <row r="17" ht="14.25" spans="2:9">
      <c r="B17" s="2"/>
      <c r="C17" s="3"/>
      <c r="D17" s="3"/>
      <c r="E17" s="4"/>
      <c r="F17" s="3"/>
      <c r="G17" s="3"/>
      <c r="H17" s="4"/>
      <c r="I17" s="4"/>
    </row>
    <row r="18" ht="14.25" spans="2:9">
      <c r="B18" s="5"/>
      <c r="C18" s="3"/>
      <c r="D18" s="3"/>
      <c r="E18" s="4"/>
      <c r="F18" s="3"/>
      <c r="G18" s="3"/>
      <c r="H18" s="4"/>
      <c r="I18" s="4"/>
    </row>
    <row r="19" ht="14.25" spans="2:9">
      <c r="B19" s="5"/>
      <c r="C19" s="3"/>
      <c r="D19" s="3"/>
      <c r="E19" s="4"/>
      <c r="F19" s="3"/>
      <c r="G19" s="3"/>
      <c r="H19" s="4"/>
      <c r="I19" s="4"/>
    </row>
    <row r="20" ht="14.25" spans="2:9">
      <c r="B20" s="6"/>
      <c r="C20" s="2"/>
      <c r="D20" s="2"/>
      <c r="E20" s="7"/>
      <c r="F20" s="8"/>
      <c r="G20" s="2"/>
      <c r="H20" s="2"/>
      <c r="I20" s="2"/>
    </row>
    <row r="23" spans="2:5">
      <c r="B23" t="s">
        <v>119</v>
      </c>
      <c r="C23">
        <f>0.6*0.8-0.2*0.2*3.14</f>
        <v>0.3544</v>
      </c>
      <c r="D23">
        <v>5</v>
      </c>
      <c r="E23">
        <f t="shared" ref="E23:E27" si="0">D23*C23</f>
        <v>1.772</v>
      </c>
    </row>
    <row r="24" spans="2:5">
      <c r="B24" t="s">
        <v>116</v>
      </c>
      <c r="C24">
        <v>0.2</v>
      </c>
      <c r="D24">
        <v>5</v>
      </c>
      <c r="E24">
        <f t="shared" si="0"/>
        <v>1</v>
      </c>
    </row>
    <row r="25" spans="2:3">
      <c r="B25" t="s">
        <v>120</v>
      </c>
      <c r="C25">
        <f>10*5*0.888/1000*2</f>
        <v>0.0888</v>
      </c>
    </row>
    <row r="27" spans="2:5">
      <c r="B27" t="s">
        <v>121</v>
      </c>
      <c r="C27">
        <v>0.12</v>
      </c>
      <c r="D27">
        <v>5</v>
      </c>
      <c r="E27">
        <f t="shared" si="0"/>
        <v>0.6</v>
      </c>
    </row>
    <row r="30" ht="14.25" spans="1:9">
      <c r="A30" t="s">
        <v>122</v>
      </c>
      <c r="B30" s="1" t="s">
        <v>123</v>
      </c>
      <c r="C30" s="2" t="s">
        <v>124</v>
      </c>
      <c r="D30" s="2" t="s">
        <v>125</v>
      </c>
      <c r="E30" s="2" t="s">
        <v>126</v>
      </c>
      <c r="F30" s="2"/>
      <c r="G30" s="2"/>
      <c r="H30" s="2" t="s">
        <v>70</v>
      </c>
      <c r="I30" s="2" t="s">
        <v>127</v>
      </c>
    </row>
    <row r="31" ht="14.25" spans="2:9">
      <c r="B31" s="2">
        <v>190</v>
      </c>
      <c r="C31" s="2"/>
      <c r="D31" s="2"/>
      <c r="E31" s="2"/>
      <c r="F31" s="2"/>
      <c r="G31" s="2"/>
      <c r="H31" s="2"/>
      <c r="I31" s="3"/>
    </row>
    <row r="32" ht="14.25" spans="2:9">
      <c r="B32" s="2">
        <v>175.5</v>
      </c>
      <c r="C32" s="3">
        <f>B31-B32</f>
        <v>14.5</v>
      </c>
      <c r="D32" s="3">
        <v>0.15</v>
      </c>
      <c r="E32" s="4">
        <f>ROUND(C32/D32+1,0)</f>
        <v>98</v>
      </c>
      <c r="F32" s="3">
        <v>0.0856</v>
      </c>
      <c r="G32" s="3">
        <v>0.116</v>
      </c>
      <c r="H32" s="4">
        <f>F32*E32*2</f>
        <v>16.7776</v>
      </c>
      <c r="I32" s="4">
        <f>E32*G32*0.6</f>
        <v>6.8208</v>
      </c>
    </row>
    <row r="33" ht="14.25" spans="2:9">
      <c r="B33" s="2"/>
      <c r="C33" s="3"/>
      <c r="D33" s="3">
        <v>0.15</v>
      </c>
      <c r="E33" s="4">
        <f>C33/D33+1</f>
        <v>1</v>
      </c>
      <c r="F33" s="3">
        <v>0.078</v>
      </c>
      <c r="G33" s="3">
        <v>0.116</v>
      </c>
      <c r="H33" s="4"/>
      <c r="I33" s="4"/>
    </row>
    <row r="34" ht="14.25" spans="2:9">
      <c r="B34" s="5"/>
      <c r="C34" s="3"/>
      <c r="D34" s="3"/>
      <c r="E34" s="4"/>
      <c r="F34" s="3"/>
      <c r="G34" s="3"/>
      <c r="H34" s="4"/>
      <c r="I34" s="4"/>
    </row>
    <row r="35" ht="14.25" spans="2:9">
      <c r="B35" s="5">
        <v>175.5</v>
      </c>
      <c r="C35" s="3">
        <f>B31-B35</f>
        <v>14.5</v>
      </c>
      <c r="D35" s="3">
        <v>0.15</v>
      </c>
      <c r="E35" s="4">
        <f>ROUND(C35/D35+1,0)</f>
        <v>98</v>
      </c>
      <c r="F35" s="3">
        <v>0.078</v>
      </c>
      <c r="G35" s="3"/>
      <c r="H35" s="4"/>
      <c r="I35" s="4"/>
    </row>
    <row r="36" ht="14.25" spans="2:9">
      <c r="B36" s="6"/>
      <c r="C36" s="2"/>
      <c r="D36" s="2"/>
      <c r="E36" s="7"/>
      <c r="F36" s="8"/>
      <c r="G36" s="2"/>
      <c r="H36" s="2"/>
      <c r="I36" s="2">
        <f>H35+H32+I32</f>
        <v>23.5984</v>
      </c>
    </row>
    <row r="37" ht="14.25" spans="1:5">
      <c r="A37" t="s">
        <v>128</v>
      </c>
      <c r="B37" s="9">
        <f>(24*1.1)</f>
        <v>26.4</v>
      </c>
      <c r="C37" s="10">
        <v>0.15</v>
      </c>
      <c r="D37" s="10"/>
      <c r="E37" s="10">
        <f>C37*B37*2</f>
        <v>7.92</v>
      </c>
    </row>
    <row r="38" spans="9:9">
      <c r="I38">
        <f>I36+E37</f>
        <v>31.5184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等你浪够</cp:lastModifiedBy>
  <dcterms:created xsi:type="dcterms:W3CDTF">2021-04-23T17:00:00Z</dcterms:created>
  <dcterms:modified xsi:type="dcterms:W3CDTF">2023-05-17T00:39:05Z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7BFA1391749144B1AB04B82D7B031CA3</vt:lpwstr>
  </property>
  <property fmtid="{D5CDD505-2E9C-101B-9397-08002B2CF9AE}" pid="3" name="KSOProductBuildVer">
    <vt:lpwstr>2052-11.1.0.14309</vt:lpwstr>
  </property>
</Properties>
</file>