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照坞预算审核" sheetId="2" r:id="rId2"/>
    <sheet name="山坞口计算搞" sheetId="3" state="hidden" r:id="rId3"/>
  </sheets>
  <definedNames>
    <definedName name="_xlnm.Print_Titles" localSheetId="1">'照坞预算审核'!$1:$4</definedName>
    <definedName name="_xlnm.Print_Area" localSheetId="1">'照坞预算审核'!$A$1:$N$104</definedName>
    <definedName name="_xlnm.Print_Area" localSheetId="0">'汇总表'!$A$1:$F$14</definedName>
  </definedNames>
  <calcPr fullCalcOnLoad="1"/>
</workbook>
</file>

<file path=xl/sharedStrings.xml><?xml version="1.0" encoding="utf-8"?>
<sst xmlns="http://schemas.openxmlformats.org/spreadsheetml/2006/main" count="636" uniqueCount="224">
  <si>
    <t>东阳市湖溪镇照坞水库改造提升工程预算审核汇总表</t>
  </si>
  <si>
    <t>单位：元</t>
  </si>
  <si>
    <t>序号</t>
  </si>
  <si>
    <t>名称</t>
  </si>
  <si>
    <t>送审</t>
  </si>
  <si>
    <t>审核</t>
  </si>
  <si>
    <t>核增</t>
  </si>
  <si>
    <t>核减</t>
  </si>
  <si>
    <t>涵管处理工程</t>
  </si>
  <si>
    <t>其他建筑工程</t>
  </si>
  <si>
    <t>临时工程</t>
  </si>
  <si>
    <t>施工导流工程、施工交通工程、施工场外供电工程、施工房屋建筑工程</t>
  </si>
  <si>
    <t>安全文明施工费</t>
  </si>
  <si>
    <t>其他临时工程</t>
  </si>
  <si>
    <t>三</t>
  </si>
  <si>
    <t>四</t>
  </si>
  <si>
    <t>东阳市湖溪镇照坞水库改造提升工程预算审核对比表</t>
  </si>
  <si>
    <t>单位：</t>
  </si>
  <si>
    <t>元</t>
  </si>
  <si>
    <t>编号</t>
  </si>
  <si>
    <t>项目名称</t>
  </si>
  <si>
    <t>单位</t>
  </si>
  <si>
    <t>数量</t>
  </si>
  <si>
    <t>单价</t>
  </si>
  <si>
    <t>合价</t>
  </si>
  <si>
    <t>一</t>
  </si>
  <si>
    <t>建筑工程</t>
  </si>
  <si>
    <t>大坝提升工程</t>
  </si>
  <si>
    <t>大坝坝脚清理</t>
  </si>
  <si>
    <t>项</t>
  </si>
  <si>
    <t>C20砼排水沟</t>
  </si>
  <si>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</si>
  <si>
    <t>碎石垫层</t>
  </si>
  <si>
    <t>三角量水堰</t>
  </si>
  <si>
    <t>刻度盘</t>
  </si>
  <si>
    <t>套</t>
  </si>
  <si>
    <t>稳流栅</t>
  </si>
  <si>
    <t>10厚不锈钢三角堰</t>
  </si>
  <si>
    <t>坝脚排水沟</t>
  </si>
  <si>
    <t>M7.5浆砌块石挡墙</t>
  </si>
  <si>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</si>
  <si>
    <t>150厚C20砼压顶</t>
  </si>
  <si>
    <t>m</t>
  </si>
  <si>
    <t>原草皮护坡修整</t>
  </si>
  <si>
    <t>草皮护坡提升</t>
  </si>
  <si>
    <t>C20砼踏步肋条</t>
  </si>
  <si>
    <t>火烧花岗岩面层</t>
  </si>
  <si>
    <t>坝顶路面拆除</t>
  </si>
  <si>
    <t xml:space="preserve"> </t>
  </si>
  <si>
    <t>坝顶10cm沥青路面、20cm混凝土路面拆除</t>
  </si>
  <si>
    <t>M2</t>
  </si>
  <si>
    <t>0.6cm乳化沥青</t>
  </si>
  <si>
    <r>
      <rPr>
        <sz val="12"/>
        <rFont val="宋体"/>
        <family val="0"/>
      </rPr>
      <t>m</t>
    </r>
    <r>
      <rPr>
        <vertAlign val="superscript"/>
        <sz val="12"/>
        <rFont val="宋体"/>
        <family val="0"/>
      </rPr>
      <t>2</t>
    </r>
  </si>
  <si>
    <t>6cm中粒式沥青混凝土（AC-20C）</t>
  </si>
  <si>
    <t>4cm细粒式沥青混凝土（AC-13F）</t>
  </si>
  <si>
    <t>200厚C20砼基础（坝顶路面）</t>
  </si>
  <si>
    <t>护坡碎石垫层（坝顶路面）</t>
  </si>
  <si>
    <t>花岗岩压顶</t>
  </si>
  <si>
    <t>花岗岩压顶（300*300）</t>
  </si>
  <si>
    <t>石渣回填</t>
  </si>
  <si>
    <t>石渣回填（利用原石方开挖料）</t>
  </si>
  <si>
    <t>M7.5浆砌块石（块石利用，造字基础，50cm厚）</t>
  </si>
  <si>
    <t>M7.5浆砌块石</t>
  </si>
  <si>
    <t>150mm厚C25钢筋砼板</t>
  </si>
  <si>
    <t>20厚花岗岩字体贴面</t>
  </si>
  <si>
    <t>个</t>
  </si>
  <si>
    <t>钢筋制安钢筋制安(C25钢筋砼板)</t>
  </si>
  <si>
    <t>t</t>
  </si>
  <si>
    <t>溢洪道提升工程</t>
  </si>
  <si>
    <t>挡墙清理</t>
  </si>
  <si>
    <t>底板石方凿平</t>
  </si>
  <si>
    <t>底板石方凿平，石渣外运</t>
  </si>
  <si>
    <t>交通桥石方开挖</t>
  </si>
  <si>
    <t>交通桥石方开挖，石渣外运</t>
  </si>
  <si>
    <t>石方回填</t>
  </si>
  <si>
    <t>石方回填（利用原石方开挖料）</t>
  </si>
  <si>
    <t>石方外运(运距3km)</t>
  </si>
  <si>
    <t>粘土回填</t>
  </si>
  <si>
    <t>M7.5浆砌块石挡墙恢复</t>
  </si>
  <si>
    <t>C25砼溢流堰</t>
  </si>
  <si>
    <t>C20砼溢洪道底板</t>
  </si>
  <si>
    <t>C20砼溢洪道挡墙衬砌</t>
  </si>
  <si>
    <t>原便桥拆除</t>
  </si>
  <si>
    <t>原便桥混凝土桥墩、桥板、护栏拆除</t>
  </si>
  <si>
    <t>C20砼垫层</t>
  </si>
  <si>
    <t>C20砼回填</t>
  </si>
  <si>
    <t>C25钢筋砼桥墩</t>
  </si>
  <si>
    <t>C25钢筋砼桥板</t>
  </si>
  <si>
    <t>钢筋制安</t>
  </si>
  <si>
    <t>仿木栏杆</t>
  </si>
  <si>
    <t>桥板支座于填缝</t>
  </si>
  <si>
    <t>伸缩缝（沥青松木版）</t>
  </si>
  <si>
    <t>伸缩缝（沥青松木板）</t>
  </si>
  <si>
    <t>土方开挖</t>
  </si>
  <si>
    <t>土方回填</t>
  </si>
  <si>
    <t>石方开挖</t>
  </si>
  <si>
    <t>C20砼进水池、镇墩</t>
  </si>
  <si>
    <t>M7.5浆砌块石基础</t>
  </si>
  <si>
    <t>C20砼支墩</t>
  </si>
  <si>
    <t>C20砼基础（拉杆）</t>
  </si>
  <si>
    <t>原隧洞进口C20砼封堵中扩孔至900</t>
  </si>
  <si>
    <t>原隧洞进口C20砼封堵中原管DN400扩孔至900</t>
  </si>
  <si>
    <t>管周回填灌浆（预埋灌浆管）</t>
  </si>
  <si>
    <t>PE100 dn630 PN1.25MPa管道铺设</t>
  </si>
  <si>
    <t>拦污栅</t>
  </si>
  <si>
    <t>块</t>
  </si>
  <si>
    <t>DN600法兰闸阀</t>
  </si>
  <si>
    <t>只</t>
  </si>
  <si>
    <t>铸铁闸门(含配件、拉杆、抱箍、启闭机等)购安</t>
  </si>
  <si>
    <t>C20砼踏步</t>
  </si>
  <si>
    <t>C20砼外包</t>
  </si>
  <si>
    <t>涵管封堵</t>
  </si>
  <si>
    <t>原C20砼里面拆除外运</t>
  </si>
  <si>
    <t>大坝冲抓套井回填</t>
  </si>
  <si>
    <t>大坝冲抓套井回填（150kg水泥/m3）</t>
  </si>
  <si>
    <t>大坝冲抓套井弃土（外运3.0km）</t>
  </si>
  <si>
    <t>坝顶C20砼基础</t>
  </si>
  <si>
    <t>M7.5浆砌块石大方脚</t>
  </si>
  <si>
    <t>C20砼压顶（大方脚）</t>
  </si>
  <si>
    <t>抛石基础</t>
  </si>
  <si>
    <t>干砌块石护坡恢复</t>
  </si>
  <si>
    <t>粘体回填</t>
  </si>
  <si>
    <t>水位尺</t>
  </si>
  <si>
    <t>水准点</t>
  </si>
  <si>
    <t>座</t>
  </si>
  <si>
    <t>测压管（钻孔 线路 套管）</t>
  </si>
  <si>
    <t>测压管施工局部恢复</t>
  </si>
  <si>
    <t>工程简介及警示标牌</t>
  </si>
  <si>
    <t>启闭机房</t>
  </si>
  <si>
    <t>责任碑</t>
  </si>
  <si>
    <t>界桩</t>
  </si>
  <si>
    <t>启闭机房图标（东阳水务及logo）</t>
  </si>
  <si>
    <t>处</t>
  </si>
  <si>
    <t>根</t>
  </si>
  <si>
    <t>C20砼路面</t>
  </si>
  <si>
    <t>二</t>
  </si>
  <si>
    <r>
      <t>临时工程（按建筑工程的3%</t>
    </r>
    <r>
      <rPr>
        <sz val="12"/>
        <rFont val="宋体"/>
        <family val="0"/>
      </rPr>
      <t>）</t>
    </r>
  </si>
  <si>
    <t>安全施工费</t>
  </si>
  <si>
    <r>
      <t>安全施工费（按建安量的1.6%</t>
    </r>
    <r>
      <rPr>
        <sz val="12"/>
        <rFont val="宋体"/>
        <family val="0"/>
      </rPr>
      <t>）</t>
    </r>
  </si>
  <si>
    <t>保险费用</t>
  </si>
  <si>
    <r>
      <t>保险费用（按建安量的0.475%</t>
    </r>
    <r>
      <rPr>
        <sz val="12"/>
        <rFont val="宋体"/>
        <family val="0"/>
      </rPr>
      <t>）</t>
    </r>
  </si>
  <si>
    <t>工程保险费（按建安量的0.475%）</t>
  </si>
  <si>
    <t>五</t>
  </si>
  <si>
    <t>合计</t>
  </si>
  <si>
    <t>建筑工程预算表</t>
  </si>
  <si>
    <t>单位:元</t>
  </si>
  <si>
    <t>计算式</t>
  </si>
  <si>
    <t>备注</t>
  </si>
  <si>
    <t>大坝坝坡清理</t>
  </si>
  <si>
    <t>C25砼预制块护坡</t>
  </si>
  <si>
    <t>0.38*5</t>
  </si>
  <si>
    <t>0.11*5</t>
  </si>
  <si>
    <t>0.24*61.4</t>
  </si>
  <si>
    <t>背水坡C20砼踏步及肋条</t>
  </si>
  <si>
    <t>40.6*0.3*0.9+0.18*3.6*40.6</t>
  </si>
  <si>
    <t>背水坡除草</t>
  </si>
  <si>
    <t>原启闭机房和背水坡观测柱粉刷</t>
  </si>
  <si>
    <t>溢洪道原底板拆除和孤石外运</t>
  </si>
  <si>
    <t>275*0.2</t>
  </si>
  <si>
    <t>2.7*0.2*22.5+1.7*0.2*75</t>
  </si>
  <si>
    <t>沥青松木板伸缩缝</t>
  </si>
  <si>
    <t>1.49*4+2.1*12</t>
  </si>
  <si>
    <t>溢流堰钻孔</t>
  </si>
  <si>
    <t>17*2</t>
  </si>
  <si>
    <t>帷幕灌浆钻孔</t>
  </si>
  <si>
    <t>帷幕灌浆</t>
  </si>
  <si>
    <t>C25砼阀门井及盖板</t>
  </si>
  <si>
    <t>18*0.16*1.5</t>
  </si>
  <si>
    <t>0.5*0.9*30</t>
  </si>
  <si>
    <t>非开挖铺管钻机钻孔直径630（含管材PE100 dn630 1.0MPa）</t>
  </si>
  <si>
    <t>dn630弯头</t>
  </si>
  <si>
    <t>0.63*49</t>
  </si>
  <si>
    <t>C25砼出水池</t>
  </si>
  <si>
    <t>C20砼巡查道路</t>
  </si>
  <si>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3</t>
    </r>
  </si>
  <si>
    <t>0.3*0.8*110+1.4*0.18*110</t>
  </si>
  <si>
    <t>M10浆砌块石基础</t>
  </si>
  <si>
    <t>1.22*110</t>
  </si>
  <si>
    <t>C20砼小路</t>
  </si>
  <si>
    <t>0.15*43</t>
  </si>
  <si>
    <t>0.1*43</t>
  </si>
  <si>
    <t>DN150镀锌钢管套管</t>
  </si>
  <si>
    <t>溢洪道边坡支护</t>
  </si>
  <si>
    <t>边坡清理</t>
  </si>
  <si>
    <t>脚手架</t>
  </si>
  <si>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2</t>
    </r>
  </si>
  <si>
    <t>C25F50砼格构梁400x300</t>
  </si>
  <si>
    <t>格构梁钢筋制安</t>
  </si>
  <si>
    <t>T</t>
  </si>
  <si>
    <t>300g无纺布</t>
  </si>
  <si>
    <t>坡比喷10cm厚绿化基材（TBS）</t>
  </si>
  <si>
    <t>12#热镀锌铁丝网</t>
  </si>
  <si>
    <t>加强锚杆束（M25砂浆锚筋桩,L=15m）</t>
  </si>
  <si>
    <t>16钢筋制安，锚筋桩固定支架。</t>
  </si>
  <si>
    <t>DN75mm系统排水孔</t>
  </si>
  <si>
    <t>DN50mm系统排水孔</t>
  </si>
  <si>
    <t>喷C25F50砼厚150mm</t>
  </si>
  <si>
    <t>注浆粘结锚杆（M25砂浆锚杆，L=4.5-6m）</t>
  </si>
  <si>
    <t>M10浆砌片石截水沟</t>
  </si>
  <si>
    <t>3cm厚M10砂浆抹面</t>
  </si>
  <si>
    <t>白蚁防治</t>
  </si>
  <si>
    <t>3.24*3.24</t>
  </si>
  <si>
    <t>闸阀室</t>
  </si>
  <si>
    <t>库区清淤（外运3.0km）</t>
  </si>
  <si>
    <r>
      <rPr>
        <sz val="12"/>
        <rFont val="宋体"/>
        <family val="0"/>
      </rPr>
      <t>临时工程（按建筑工程的3%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</si>
  <si>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安全施工费（按建安量的1.6%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</si>
  <si>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保险费用（按建安量的0.475%</t>
    </r>
    <r>
      <rPr>
        <sz val="12"/>
        <rFont val="宋体"/>
        <family val="0"/>
      </rPr>
      <t>）</t>
    </r>
  </si>
  <si>
    <t>坝顶路面工程量恢复，坝顶宽4m，长110m</t>
  </si>
  <si>
    <r>
      <rPr>
        <sz val="12"/>
        <color indexed="10"/>
        <rFont val="Times New Roman"/>
        <family val="1"/>
      </rPr>
      <t>m</t>
    </r>
    <r>
      <rPr>
        <vertAlign val="superscript"/>
        <sz val="12"/>
        <color indexed="10"/>
        <rFont val="Times New Roman"/>
        <family val="1"/>
      </rPr>
      <t>3</t>
    </r>
  </si>
  <si>
    <t>110*2*0.3*0.3</t>
  </si>
  <si>
    <t>C20砼基础（花岗岩下）</t>
  </si>
  <si>
    <t>15cm厚坝顶C20砼垫层</t>
  </si>
  <si>
    <t>0.15*3.4*110</t>
  </si>
  <si>
    <t>坝顶碎石垫层(平面)</t>
  </si>
  <si>
    <t>0.1*3.4*110</t>
  </si>
  <si>
    <t>信息价</t>
  </si>
  <si>
    <t>系数</t>
  </si>
  <si>
    <t>价格</t>
  </si>
  <si>
    <t>透水砖路面(含1:3水泥砂浆结合层)</t>
  </si>
  <si>
    <r>
      <rPr>
        <sz val="12"/>
        <color indexed="10"/>
        <rFont val="Times New Roman"/>
        <family val="1"/>
      </rPr>
      <t>m</t>
    </r>
    <r>
      <rPr>
        <vertAlign val="superscript"/>
        <sz val="12"/>
        <color indexed="10"/>
        <rFont val="Times New Roman"/>
        <family val="1"/>
      </rPr>
      <t>2</t>
    </r>
  </si>
  <si>
    <t>110*3.4</t>
  </si>
  <si>
    <t>碎石</t>
  </si>
  <si>
    <t>砂</t>
  </si>
  <si>
    <t>块石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</si>
</sst>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+000.00"/>
    <numFmt numFmtId="177" formatCode="0.0"/>
    <numFmt numFmtId="178" formatCode="0_ "/>
    <numFmt numFmtId="179" formatCode="0.00_ "/>
    <numFmt numFmtId="180" formatCode="0.000%"/>
    <numFmt numFmtId="181" formatCode="0.0%"/>
    <numFmt numFmtId="182" formatCode="0.0_);[Red]\(0.0\)"/>
  </numFmts>
  <fonts count="9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40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color indexed="30"/>
      <name val="宋体"/>
      <family val="0"/>
    </font>
    <font>
      <b/>
      <sz val="10"/>
      <color indexed="30"/>
      <name val="宋体"/>
      <family val="0"/>
    </font>
    <font>
      <sz val="12"/>
      <color indexed="3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.5"/>
      <color indexed="3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color indexed="10"/>
      <name val="Times New Roman"/>
      <family val="1"/>
    </font>
    <font>
      <vertAlign val="superscript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1"/>
      <name val="Calibri"/>
      <family val="0"/>
    </font>
    <font>
      <b/>
      <sz val="12"/>
      <color rgb="FF00B0F0"/>
      <name val="Calibri"/>
      <family val="0"/>
    </font>
    <font>
      <sz val="12"/>
      <color rgb="FFFF0000"/>
      <name val="Calibri"/>
      <family val="0"/>
    </font>
    <font>
      <sz val="12"/>
      <color rgb="FFFF0000"/>
      <name val="Times New Roman"/>
      <family val="1"/>
    </font>
    <font>
      <sz val="10"/>
      <color rgb="FF0070C0"/>
      <name val="宋体"/>
      <family val="0"/>
    </font>
    <font>
      <b/>
      <sz val="10"/>
      <color rgb="FF0070C0"/>
      <name val="宋体"/>
      <family val="0"/>
    </font>
    <font>
      <sz val="10"/>
      <color theme="4" tint="-0.24997000396251678"/>
      <name val="宋体"/>
      <family val="0"/>
    </font>
    <font>
      <b/>
      <sz val="10"/>
      <color theme="4" tint="-0.24997000396251678"/>
      <name val="宋体"/>
      <family val="0"/>
    </font>
    <font>
      <sz val="12"/>
      <color rgb="FF0070C0"/>
      <name val="宋体"/>
      <family val="0"/>
    </font>
    <font>
      <b/>
      <sz val="18"/>
      <name val="Calibri"/>
      <family val="0"/>
    </font>
    <font>
      <b/>
      <sz val="10"/>
      <name val="Calibri Light"/>
      <family val="0"/>
    </font>
    <font>
      <b/>
      <sz val="10"/>
      <color rgb="FF000000"/>
      <name val="Calibri Light"/>
      <family val="0"/>
    </font>
    <font>
      <b/>
      <sz val="10"/>
      <color rgb="FF000000"/>
      <name val="宋体"/>
      <family val="0"/>
    </font>
    <font>
      <sz val="18"/>
      <name val="Calibri"/>
      <family val="0"/>
    </font>
    <font>
      <sz val="10"/>
      <color rgb="FF000000"/>
      <name val="宋体"/>
      <family val="0"/>
    </font>
    <font>
      <sz val="10"/>
      <color rgb="FF000000"/>
      <name val="Calibri Light"/>
      <family val="0"/>
    </font>
    <font>
      <b/>
      <sz val="10"/>
      <name val="Calibri"/>
      <family val="0"/>
    </font>
    <font>
      <sz val="10"/>
      <name val="Calibri"/>
      <family val="0"/>
    </font>
    <font>
      <sz val="10.5"/>
      <color rgb="FF0070C0"/>
      <name val="宋体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  <font>
      <b/>
      <sz val="11"/>
      <name val="Calibri"/>
      <family val="0"/>
    </font>
    <font>
      <b/>
      <sz val="2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1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1" fillId="9" borderId="0" applyNumberFormat="0" applyBorder="0" applyAlignment="0" applyProtection="0"/>
    <xf numFmtId="0" fontId="55" fillId="0" borderId="4" applyNumberFormat="0" applyFill="0" applyAlignment="0" applyProtection="0"/>
    <xf numFmtId="0" fontId="51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2" fontId="68" fillId="0" borderId="0" xfId="0" applyNumberFormat="1" applyFont="1" applyFill="1" applyBorder="1" applyAlignment="1">
      <alignment vertical="center"/>
    </xf>
    <xf numFmtId="0" fontId="70" fillId="34" borderId="0" xfId="0" applyFont="1" applyFill="1" applyBorder="1" applyAlignment="1">
      <alignment horizontal="center" vertical="center" wrapText="1"/>
    </xf>
    <xf numFmtId="2" fontId="70" fillId="34" borderId="0" xfId="0" applyNumberFormat="1" applyFont="1" applyFill="1" applyBorder="1" applyAlignment="1">
      <alignment horizontal="center" vertical="center" wrapText="1"/>
    </xf>
    <xf numFmtId="0" fontId="68" fillId="34" borderId="9" xfId="0" applyFont="1" applyFill="1" applyBorder="1" applyAlignment="1">
      <alignment horizontal="left" wrapText="1"/>
    </xf>
    <xf numFmtId="0" fontId="68" fillId="34" borderId="10" xfId="0" applyFont="1" applyFill="1" applyBorder="1" applyAlignment="1">
      <alignment horizontal="left" wrapText="1"/>
    </xf>
    <xf numFmtId="2" fontId="68" fillId="34" borderId="11" xfId="0" applyNumberFormat="1" applyFont="1" applyFill="1" applyBorder="1" applyAlignment="1">
      <alignment horizontal="right" wrapText="1"/>
    </xf>
    <xf numFmtId="0" fontId="68" fillId="34" borderId="12" xfId="0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center" vertical="center" wrapText="1"/>
    </xf>
    <xf numFmtId="2" fontId="68" fillId="34" borderId="14" xfId="0" applyNumberFormat="1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left" vertical="center" wrapText="1"/>
    </xf>
    <xf numFmtId="0" fontId="70" fillId="34" borderId="16" xfId="0" applyFont="1" applyFill="1" applyBorder="1" applyAlignment="1">
      <alignment horizontal="center" vertical="center" wrapText="1"/>
    </xf>
    <xf numFmtId="2" fontId="70" fillId="34" borderId="17" xfId="0" applyNumberFormat="1" applyFont="1" applyFill="1" applyBorder="1" applyAlignment="1">
      <alignment horizontal="right" vertical="center" wrapText="1"/>
    </xf>
    <xf numFmtId="176" fontId="68" fillId="0" borderId="0" xfId="0" applyNumberFormat="1" applyFont="1" applyFill="1" applyBorder="1" applyAlignment="1">
      <alignment vertical="center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left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right" vertical="center" wrapText="1"/>
    </xf>
    <xf numFmtId="2" fontId="70" fillId="33" borderId="17" xfId="0" applyNumberFormat="1" applyFont="1" applyFill="1" applyBorder="1" applyAlignment="1">
      <alignment horizontal="right" vertical="center" wrapText="1"/>
    </xf>
    <xf numFmtId="176" fontId="68" fillId="33" borderId="0" xfId="0" applyNumberFormat="1" applyFont="1" applyFill="1" applyBorder="1" applyAlignment="1">
      <alignment vertical="center"/>
    </xf>
    <xf numFmtId="0" fontId="68" fillId="34" borderId="15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2" fontId="68" fillId="34" borderId="16" xfId="0" applyNumberFormat="1" applyFont="1" applyFill="1" applyBorder="1" applyAlignment="1">
      <alignment horizontal="right" vertical="center" wrapText="1"/>
    </xf>
    <xf numFmtId="2" fontId="68" fillId="34" borderId="17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68" fillId="34" borderId="16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vertical="center"/>
    </xf>
    <xf numFmtId="0" fontId="71" fillId="34" borderId="15" xfId="0" applyFont="1" applyFill="1" applyBorder="1" applyAlignment="1">
      <alignment horizontal="center" vertical="center" wrapText="1"/>
    </xf>
    <xf numFmtId="0" fontId="71" fillId="34" borderId="16" xfId="0" applyFont="1" applyFill="1" applyBorder="1" applyAlignment="1">
      <alignment horizontal="left" vertical="center" wrapText="1"/>
    </xf>
    <xf numFmtId="2" fontId="71" fillId="34" borderId="17" xfId="0" applyNumberFormat="1" applyFont="1" applyFill="1" applyBorder="1" applyAlignment="1">
      <alignment horizontal="right" vertical="center" wrapText="1"/>
    </xf>
    <xf numFmtId="176" fontId="69" fillId="0" borderId="0" xfId="0" applyNumberFormat="1" applyFont="1" applyFill="1" applyBorder="1" applyAlignment="1">
      <alignment vertical="center"/>
    </xf>
    <xf numFmtId="0" fontId="72" fillId="34" borderId="16" xfId="0" applyFont="1" applyFill="1" applyBorder="1" applyAlignment="1">
      <alignment horizontal="left" vertical="center" wrapText="1"/>
    </xf>
    <xf numFmtId="0" fontId="72" fillId="34" borderId="16" xfId="0" applyFont="1" applyFill="1" applyBorder="1" applyAlignment="1">
      <alignment horizontal="center" vertical="center" wrapText="1"/>
    </xf>
    <xf numFmtId="177" fontId="68" fillId="34" borderId="16" xfId="0" applyNumberFormat="1" applyFont="1" applyFill="1" applyBorder="1" applyAlignment="1">
      <alignment horizontal="right" vertical="center" wrapText="1"/>
    </xf>
    <xf numFmtId="177" fontId="68" fillId="34" borderId="16" xfId="0" applyNumberFormat="1" applyFont="1" applyFill="1" applyBorder="1" applyAlignment="1">
      <alignment horizontal="left" vertical="center" wrapText="1"/>
    </xf>
    <xf numFmtId="177" fontId="68" fillId="34" borderId="16" xfId="0" applyNumberFormat="1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horizontal="center" vertical="center" wrapText="1"/>
    </xf>
    <xf numFmtId="2" fontId="68" fillId="34" borderId="15" xfId="0" applyNumberFormat="1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69" fillId="0" borderId="0" xfId="0" applyNumberFormat="1" applyFont="1" applyFill="1" applyBorder="1" applyAlignment="1">
      <alignment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vertical="center"/>
    </xf>
    <xf numFmtId="0" fontId="68" fillId="0" borderId="16" xfId="0" applyFont="1" applyFill="1" applyBorder="1" applyAlignment="1">
      <alignment horizontal="center" vertical="center" wrapText="1"/>
    </xf>
    <xf numFmtId="2" fontId="70" fillId="0" borderId="17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horizontal="center" vertical="center" wrapText="1"/>
    </xf>
    <xf numFmtId="2" fontId="68" fillId="34" borderId="19" xfId="0" applyNumberFormat="1" applyFont="1" applyFill="1" applyBorder="1" applyAlignment="1">
      <alignment horizontal="right" vertical="center" wrapText="1"/>
    </xf>
    <xf numFmtId="2" fontId="70" fillId="34" borderId="20" xfId="0" applyNumberFormat="1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5" fillId="34" borderId="16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center" vertical="center"/>
    </xf>
    <xf numFmtId="2" fontId="75" fillId="34" borderId="16" xfId="0" applyNumberFormat="1" applyFont="1" applyFill="1" applyBorder="1" applyAlignment="1">
      <alignment horizontal="right" vertical="center" wrapText="1"/>
    </xf>
    <xf numFmtId="2" fontId="75" fillId="34" borderId="17" xfId="0" applyNumberFormat="1" applyFont="1" applyFill="1" applyBorder="1" applyAlignment="1">
      <alignment horizontal="right" vertical="center" wrapText="1"/>
    </xf>
    <xf numFmtId="0" fontId="75" fillId="0" borderId="16" xfId="0" applyFont="1" applyFill="1" applyBorder="1" applyAlignment="1">
      <alignment vertical="center"/>
    </xf>
    <xf numFmtId="0" fontId="75" fillId="0" borderId="16" xfId="0" applyFont="1" applyFill="1" applyBorder="1" applyAlignment="1">
      <alignment horizontal="right" vertical="center"/>
    </xf>
    <xf numFmtId="0" fontId="68" fillId="0" borderId="12" xfId="0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68" fillId="0" borderId="18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178" fontId="82" fillId="0" borderId="0" xfId="0" applyNumberFormat="1" applyFont="1" applyFill="1" applyBorder="1" applyAlignment="1">
      <alignment horizontal="center" vertical="center" wrapText="1"/>
    </xf>
    <xf numFmtId="179" fontId="8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center" vertical="center" wrapText="1"/>
    </xf>
    <xf numFmtId="179" fontId="15" fillId="0" borderId="0" xfId="0" applyNumberFormat="1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/>
    </xf>
    <xf numFmtId="178" fontId="83" fillId="0" borderId="16" xfId="0" applyNumberFormat="1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vertical="center"/>
    </xf>
    <xf numFmtId="0" fontId="83" fillId="0" borderId="16" xfId="0" applyFont="1" applyFill="1" applyBorder="1" applyAlignment="1">
      <alignment horizontal="center" vertical="center" wrapText="1"/>
    </xf>
    <xf numFmtId="178" fontId="83" fillId="0" borderId="16" xfId="0" applyNumberFormat="1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179" fontId="84" fillId="0" borderId="16" xfId="0" applyNumberFormat="1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left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left" vertical="center" wrapText="1"/>
    </xf>
    <xf numFmtId="179" fontId="68" fillId="34" borderId="16" xfId="0" applyNumberFormat="1" applyFont="1" applyFill="1" applyBorder="1" applyAlignment="1">
      <alignment horizontal="right" vertical="center" wrapText="1"/>
    </xf>
    <xf numFmtId="2" fontId="68" fillId="0" borderId="16" xfId="0" applyNumberFormat="1" applyFont="1" applyFill="1" applyBorder="1" applyAlignment="1">
      <alignment horizontal="right" vertical="center" wrapText="1"/>
    </xf>
    <xf numFmtId="0" fontId="68" fillId="34" borderId="0" xfId="0" applyFont="1" applyFill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2" fontId="68" fillId="34" borderId="0" xfId="0" applyNumberFormat="1" applyFont="1" applyFill="1" applyAlignment="1">
      <alignment horizontal="right" vertical="center" wrapText="1"/>
    </xf>
    <xf numFmtId="0" fontId="68" fillId="34" borderId="21" xfId="0" applyFont="1" applyFill="1" applyBorder="1" applyAlignment="1">
      <alignment horizontal="right" vertical="center" wrapText="1"/>
    </xf>
    <xf numFmtId="0" fontId="69" fillId="0" borderId="16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vertical="center" wrapText="1"/>
    </xf>
    <xf numFmtId="0" fontId="68" fillId="34" borderId="23" xfId="0" applyFont="1" applyFill="1" applyBorder="1" applyAlignment="1">
      <alignment horizontal="right" vertical="center" wrapText="1"/>
    </xf>
    <xf numFmtId="0" fontId="72" fillId="34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179" fontId="86" fillId="0" borderId="0" xfId="0" applyNumberFormat="1" applyFont="1" applyFill="1" applyBorder="1" applyAlignment="1">
      <alignment horizontal="center" vertical="center" wrapText="1"/>
    </xf>
    <xf numFmtId="179" fontId="82" fillId="0" borderId="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center" vertical="center" wrapText="1"/>
    </xf>
    <xf numFmtId="178" fontId="83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9" fontId="83" fillId="0" borderId="16" xfId="0" applyNumberFormat="1" applyFont="1" applyFill="1" applyBorder="1" applyAlignment="1">
      <alignment horizontal="center" vertical="center" wrapText="1"/>
    </xf>
    <xf numFmtId="178" fontId="84" fillId="0" borderId="16" xfId="0" applyNumberFormat="1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2" fontId="85" fillId="0" borderId="16" xfId="0" applyNumberFormat="1" applyFont="1" applyFill="1" applyBorder="1" applyAlignment="1">
      <alignment horizontal="center" vertical="center" shrinkToFit="1"/>
    </xf>
    <xf numFmtId="1" fontId="85" fillId="0" borderId="16" xfId="0" applyNumberFormat="1" applyFont="1" applyFill="1" applyBorder="1" applyAlignment="1">
      <alignment horizontal="center" vertical="center" shrinkToFit="1"/>
    </xf>
    <xf numFmtId="179" fontId="87" fillId="0" borderId="16" xfId="0" applyNumberFormat="1" applyFont="1" applyFill="1" applyBorder="1" applyAlignment="1">
      <alignment horizontal="center" vertical="center" shrinkToFit="1"/>
    </xf>
    <xf numFmtId="178" fontId="88" fillId="0" borderId="16" xfId="0" applyNumberFormat="1" applyFont="1" applyFill="1" applyBorder="1" applyAlignment="1">
      <alignment horizontal="center" vertical="center"/>
    </xf>
    <xf numFmtId="2" fontId="68" fillId="34" borderId="16" xfId="0" applyNumberFormat="1" applyFont="1" applyFill="1" applyBorder="1" applyAlignment="1">
      <alignment horizontal="center" vertical="center" wrapText="1"/>
    </xf>
    <xf numFmtId="178" fontId="84" fillId="0" borderId="16" xfId="0" applyNumberFormat="1" applyFont="1" applyFill="1" applyBorder="1" applyAlignment="1">
      <alignment horizontal="center" vertical="center"/>
    </xf>
    <xf numFmtId="0" fontId="71" fillId="34" borderId="16" xfId="0" applyFont="1" applyFill="1" applyBorder="1" applyAlignment="1">
      <alignment horizontal="right" vertical="center" wrapText="1"/>
    </xf>
    <xf numFmtId="0" fontId="68" fillId="34" borderId="16" xfId="0" applyNumberFormat="1" applyFont="1" applyFill="1" applyBorder="1" applyAlignment="1">
      <alignment horizontal="right" vertical="center" wrapText="1"/>
    </xf>
    <xf numFmtId="2" fontId="68" fillId="34" borderId="24" xfId="0" applyNumberFormat="1" applyFont="1" applyFill="1" applyBorder="1" applyAlignment="1">
      <alignment horizontal="right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right" vertical="center" wrapText="1"/>
    </xf>
    <xf numFmtId="0" fontId="89" fillId="0" borderId="16" xfId="0" applyFont="1" applyFill="1" applyBorder="1" applyAlignment="1">
      <alignment horizontal="center" vertical="center"/>
    </xf>
    <xf numFmtId="0" fontId="89" fillId="0" borderId="25" xfId="0" applyFont="1" applyFill="1" applyBorder="1" applyAlignment="1">
      <alignment vertical="center"/>
    </xf>
    <xf numFmtId="10" fontId="68" fillId="34" borderId="16" xfId="0" applyNumberFormat="1" applyFont="1" applyFill="1" applyBorder="1" applyAlignment="1">
      <alignment horizontal="right" vertical="center" wrapText="1"/>
    </xf>
    <xf numFmtId="0" fontId="90" fillId="0" borderId="16" xfId="0" applyFont="1" applyFill="1" applyBorder="1" applyAlignment="1">
      <alignment horizontal="center" vertical="center"/>
    </xf>
    <xf numFmtId="0" fontId="90" fillId="0" borderId="25" xfId="0" applyFont="1" applyFill="1" applyBorder="1" applyAlignment="1">
      <alignment vertical="center" wrapText="1"/>
    </xf>
    <xf numFmtId="0" fontId="90" fillId="0" borderId="26" xfId="0" applyFont="1" applyFill="1" applyBorder="1" applyAlignment="1">
      <alignment horizontal="center" vertical="center"/>
    </xf>
    <xf numFmtId="0" fontId="90" fillId="0" borderId="25" xfId="0" applyFont="1" applyFill="1" applyBorder="1" applyAlignment="1">
      <alignment vertical="center"/>
    </xf>
    <xf numFmtId="180" fontId="68" fillId="34" borderId="16" xfId="0" applyNumberFormat="1" applyFont="1" applyFill="1" applyBorder="1" applyAlignment="1">
      <alignment horizontal="right" vertical="center" wrapText="1"/>
    </xf>
    <xf numFmtId="0" fontId="90" fillId="0" borderId="16" xfId="0" applyFont="1" applyFill="1" applyBorder="1" applyAlignment="1">
      <alignment horizontal="center" vertical="center" wrapText="1"/>
    </xf>
    <xf numFmtId="10" fontId="68" fillId="34" borderId="19" xfId="0" applyNumberFormat="1" applyFont="1" applyFill="1" applyBorder="1" applyAlignment="1">
      <alignment horizontal="right" vertical="center" wrapText="1"/>
    </xf>
    <xf numFmtId="0" fontId="10" fillId="0" borderId="25" xfId="0" applyNumberFormat="1" applyFont="1" applyFill="1" applyBorder="1" applyAlignment="1">
      <alignment vertical="center"/>
    </xf>
    <xf numFmtId="0" fontId="91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 wrapText="1"/>
    </xf>
    <xf numFmtId="0" fontId="91" fillId="0" borderId="0" xfId="0" applyFont="1" applyFill="1" applyBorder="1" applyAlignment="1">
      <alignment horizontal="center" vertical="center"/>
    </xf>
    <xf numFmtId="178" fontId="91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 horizontal="center" vertical="center"/>
    </xf>
    <xf numFmtId="178" fontId="93" fillId="0" borderId="0" xfId="0" applyNumberFormat="1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 wrapText="1"/>
    </xf>
    <xf numFmtId="2" fontId="87" fillId="0" borderId="16" xfId="0" applyNumberFormat="1" applyFont="1" applyFill="1" applyBorder="1" applyAlignment="1">
      <alignment horizontal="center" vertical="center" shrinkToFit="1"/>
    </xf>
    <xf numFmtId="179" fontId="89" fillId="0" borderId="16" xfId="0" applyNumberFormat="1" applyFont="1" applyFill="1" applyBorder="1" applyAlignment="1">
      <alignment horizontal="center" vertical="center"/>
    </xf>
    <xf numFmtId="179" fontId="90" fillId="0" borderId="16" xfId="0" applyNumberFormat="1" applyFont="1" applyFill="1" applyBorder="1" applyAlignment="1">
      <alignment horizontal="center" vertical="center"/>
    </xf>
    <xf numFmtId="178" fontId="89" fillId="0" borderId="16" xfId="0" applyNumberFormat="1" applyFont="1" applyFill="1" applyBorder="1" applyAlignment="1">
      <alignment horizontal="center" vertical="center"/>
    </xf>
    <xf numFmtId="178" fontId="90" fillId="0" borderId="16" xfId="0" applyNumberFormat="1" applyFont="1" applyFill="1" applyBorder="1" applyAlignment="1">
      <alignment horizontal="center" vertical="center"/>
    </xf>
    <xf numFmtId="10" fontId="90" fillId="0" borderId="16" xfId="25" applyNumberFormat="1" applyFont="1" applyFill="1" applyBorder="1" applyAlignment="1">
      <alignment horizontal="center" vertical="center"/>
    </xf>
    <xf numFmtId="178" fontId="90" fillId="0" borderId="16" xfId="0" applyNumberFormat="1" applyFont="1" applyFill="1" applyBorder="1" applyAlignment="1">
      <alignment horizontal="center" vertical="center" wrapText="1"/>
    </xf>
    <xf numFmtId="180" fontId="90" fillId="0" borderId="16" xfId="25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vertical="center"/>
    </xf>
    <xf numFmtId="178" fontId="10" fillId="0" borderId="16" xfId="0" applyNumberFormat="1" applyFont="1" applyFill="1" applyBorder="1" applyAlignment="1">
      <alignment horizontal="center" vertical="center"/>
    </xf>
    <xf numFmtId="179" fontId="93" fillId="0" borderId="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right" vertical="center"/>
    </xf>
    <xf numFmtId="178" fontId="81" fillId="0" borderId="0" xfId="0" applyNumberFormat="1" applyFont="1" applyFill="1" applyBorder="1" applyAlignment="1">
      <alignment vertical="center"/>
    </xf>
    <xf numFmtId="0" fontId="9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8" fontId="81" fillId="0" borderId="0" xfId="0" applyNumberFormat="1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 wrapText="1"/>
    </xf>
    <xf numFmtId="178" fontId="94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vertical="center" wrapText="1"/>
    </xf>
    <xf numFmtId="1" fontId="73" fillId="0" borderId="0" xfId="0" applyNumberFormat="1" applyFont="1" applyFill="1" applyBorder="1" applyAlignment="1">
      <alignment horizontal="center" vertical="center" wrapText="1"/>
    </xf>
    <xf numFmtId="10" fontId="73" fillId="0" borderId="0" xfId="0" applyNumberFormat="1" applyFont="1" applyFill="1" applyBorder="1" applyAlignment="1">
      <alignment horizontal="center" vertical="center" wrapText="1"/>
    </xf>
    <xf numFmtId="178" fontId="73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/>
    </xf>
    <xf numFmtId="2" fontId="94" fillId="0" borderId="0" xfId="0" applyNumberFormat="1" applyFont="1" applyFill="1" applyBorder="1" applyAlignment="1">
      <alignment horizontal="center" vertical="center"/>
    </xf>
    <xf numFmtId="181" fontId="73" fillId="0" borderId="0" xfId="0" applyNumberFormat="1" applyFont="1" applyFill="1" applyBorder="1" applyAlignment="1">
      <alignment horizontal="center" vertical="center"/>
    </xf>
    <xf numFmtId="1" fontId="94" fillId="0" borderId="0" xfId="0" applyNumberFormat="1" applyFont="1" applyFill="1" applyBorder="1" applyAlignment="1">
      <alignment horizontal="center" vertical="center" wrapText="1"/>
    </xf>
    <xf numFmtId="10" fontId="94" fillId="0" borderId="0" xfId="0" applyNumberFormat="1" applyFont="1" applyFill="1" applyBorder="1" applyAlignment="1">
      <alignment horizontal="center" vertical="center" wrapText="1"/>
    </xf>
    <xf numFmtId="178" fontId="94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180" fontId="73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82" fontId="15" fillId="0" borderId="0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179" fontId="94" fillId="0" borderId="0" xfId="0" applyNumberFormat="1" applyFont="1" applyFill="1" applyBorder="1" applyAlignment="1">
      <alignment horizontal="center" vertical="center"/>
    </xf>
    <xf numFmtId="179" fontId="73" fillId="0" borderId="0" xfId="0" applyNumberFormat="1" applyFont="1" applyFill="1" applyBorder="1" applyAlignment="1">
      <alignment horizontal="center" vertical="center"/>
    </xf>
    <xf numFmtId="178" fontId="73" fillId="0" borderId="0" xfId="0" applyNumberFormat="1" applyFont="1" applyFill="1" applyBorder="1" applyAlignment="1">
      <alignment horizontal="center" vertical="center"/>
    </xf>
    <xf numFmtId="10" fontId="73" fillId="0" borderId="0" xfId="25" applyNumberFormat="1" applyFont="1" applyFill="1" applyBorder="1" applyAlignment="1">
      <alignment horizontal="center" vertical="center"/>
    </xf>
    <xf numFmtId="180" fontId="73" fillId="0" borderId="0" xfId="25" applyNumberFormat="1" applyFont="1" applyFill="1" applyBorder="1" applyAlignment="1">
      <alignment horizontal="center" vertical="center" wrapText="1"/>
    </xf>
    <xf numFmtId="179" fontId="15" fillId="0" borderId="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5" fillId="35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8" fontId="9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84</xdr:row>
      <xdr:rowOff>180975</xdr:rowOff>
    </xdr:from>
    <xdr:to>
      <xdr:col>4</xdr:col>
      <xdr:colOff>1828800</xdr:colOff>
      <xdr:row>96</xdr:row>
      <xdr:rowOff>47625</xdr:rowOff>
    </xdr:to>
    <xdr:pic>
      <xdr:nvPicPr>
        <xdr:cNvPr id="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2231350"/>
          <a:ext cx="68103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SheetLayoutView="100" workbookViewId="0" topLeftCell="A1">
      <selection activeCell="F27" sqref="F27"/>
    </sheetView>
  </sheetViews>
  <sheetFormatPr defaultColWidth="8.00390625" defaultRowHeight="14.25"/>
  <cols>
    <col min="1" max="1" width="6.50390625" style="221" customWidth="1"/>
    <col min="2" max="2" width="40.75390625" style="221" customWidth="1"/>
    <col min="3" max="6" width="20.25390625" style="221" customWidth="1"/>
    <col min="7" max="8" width="11.125" style="221" bestFit="1" customWidth="1"/>
    <col min="9" max="16384" width="8.00390625" style="221" customWidth="1"/>
  </cols>
  <sheetData>
    <row r="1" spans="1:6" s="221" customFormat="1" ht="30.75" customHeight="1">
      <c r="A1" s="223" t="s">
        <v>0</v>
      </c>
      <c r="B1" s="223"/>
      <c r="C1" s="223"/>
      <c r="D1" s="223"/>
      <c r="E1" s="223"/>
      <c r="F1" s="223"/>
    </row>
    <row r="2" s="222" customFormat="1" ht="15" customHeight="1">
      <c r="F2" s="222" t="s">
        <v>1</v>
      </c>
    </row>
    <row r="3" spans="1:6" s="222" customFormat="1" ht="30.75" customHeight="1">
      <c r="A3" s="224" t="s">
        <v>2</v>
      </c>
      <c r="B3" s="224" t="s">
        <v>3</v>
      </c>
      <c r="C3" s="224" t="s">
        <v>4</v>
      </c>
      <c r="D3" s="224" t="s">
        <v>5</v>
      </c>
      <c r="E3" s="224" t="s">
        <v>6</v>
      </c>
      <c r="F3" s="224" t="s">
        <v>7</v>
      </c>
    </row>
    <row r="4" spans="1:6" s="222" customFormat="1" ht="30.75" customHeight="1">
      <c r="A4" s="224" t="str">
        <f>'照坞预算审核'!G5</f>
        <v>一</v>
      </c>
      <c r="B4" s="224" t="str">
        <f>'照坞预算审核'!B5</f>
        <v>建筑工程</v>
      </c>
      <c r="C4" s="225">
        <f>SUM(C5:C8)</f>
        <v>1344247.2459800001</v>
      </c>
      <c r="D4" s="225">
        <f>SUM(D5:D8)</f>
        <v>1155141.42268</v>
      </c>
      <c r="E4" s="225">
        <f>'照坞预算审核'!M5</f>
        <v>60726.369000000006</v>
      </c>
      <c r="F4" s="225">
        <f>'照坞预算审核'!N5</f>
        <v>249832.18835999994</v>
      </c>
    </row>
    <row r="5" spans="1:6" s="222" customFormat="1" ht="30.75" customHeight="1">
      <c r="A5" s="224">
        <f>'照坞预算审核'!G6</f>
        <v>1</v>
      </c>
      <c r="B5" s="224" t="str">
        <f>'照坞预算审核'!B6</f>
        <v>大坝提升工程</v>
      </c>
      <c r="C5" s="225">
        <f>'照坞预算审核'!F6</f>
        <v>377665.24</v>
      </c>
      <c r="D5" s="225">
        <f>'照坞预算审核'!L6</f>
        <v>337533.63748</v>
      </c>
      <c r="E5" s="225">
        <f>'照坞预算审核'!M6</f>
        <v>42416.082</v>
      </c>
      <c r="F5" s="225">
        <f>'照坞预算审核'!N6</f>
        <v>82547.68057999997</v>
      </c>
    </row>
    <row r="6" spans="1:6" s="222" customFormat="1" ht="30.75" customHeight="1">
      <c r="A6" s="224">
        <f>'照坞预算审核'!G34</f>
        <v>2</v>
      </c>
      <c r="B6" s="224" t="str">
        <f>'照坞预算审核'!H34</f>
        <v>溢洪道提升工程</v>
      </c>
      <c r="C6" s="225">
        <f>'照坞预算审核'!F34</f>
        <v>535342.8463000001</v>
      </c>
      <c r="D6" s="225">
        <f>'照坞预算审核'!L34</f>
        <v>473831.9716999999</v>
      </c>
      <c r="E6" s="225">
        <f>'照坞预算审核'!M34</f>
        <v>18120.746</v>
      </c>
      <c r="F6" s="225">
        <f>'照坞预算审核'!N34</f>
        <v>79631.62059999998</v>
      </c>
    </row>
    <row r="7" spans="1:6" s="222" customFormat="1" ht="30.75" customHeight="1">
      <c r="A7" s="224">
        <v>3</v>
      </c>
      <c r="B7" s="224" t="s">
        <v>8</v>
      </c>
      <c r="C7" s="225">
        <f>'照坞预算审核'!F58</f>
        <v>331462.78968</v>
      </c>
      <c r="D7" s="225">
        <f>'照坞预算审核'!L58</f>
        <v>265755.9535</v>
      </c>
      <c r="E7" s="225">
        <f>'照坞预算审核'!M34</f>
        <v>18120.746</v>
      </c>
      <c r="F7" s="225">
        <f>'照坞预算审核'!N34</f>
        <v>79631.62059999998</v>
      </c>
    </row>
    <row r="8" spans="1:6" s="222" customFormat="1" ht="30.75" customHeight="1">
      <c r="A8" s="224">
        <v>4</v>
      </c>
      <c r="B8" s="224" t="s">
        <v>9</v>
      </c>
      <c r="C8" s="225">
        <f>'照坞预算审核'!F87</f>
        <v>99776.37</v>
      </c>
      <c r="D8" s="225">
        <f>'照坞预算审核'!L87</f>
        <v>78019.86</v>
      </c>
      <c r="E8" s="225">
        <f>'照坞预算审核'!M58</f>
        <v>188.7009999999998</v>
      </c>
      <c r="F8" s="225">
        <f>'照坞预算审核'!N58</f>
        <v>65895.53718</v>
      </c>
    </row>
    <row r="9" spans="1:6" s="222" customFormat="1" ht="30.75" customHeight="1">
      <c r="A9" s="224" t="str">
        <f>'照坞预算审核'!G100</f>
        <v>二</v>
      </c>
      <c r="B9" s="158" t="s">
        <v>10</v>
      </c>
      <c r="C9" s="225">
        <f>SUM(C10:C12)</f>
        <v>62480.61199315041</v>
      </c>
      <c r="D9" s="225">
        <f>'照坞预算审核'!L100</f>
        <v>53955.03865539105</v>
      </c>
      <c r="E9" s="225">
        <f>'照坞预算审核'!M100</f>
        <v>0</v>
      </c>
      <c r="F9" s="225">
        <f>'照坞预算审核'!N100</f>
        <v>8525.573337759353</v>
      </c>
    </row>
    <row r="10" spans="1:6" s="222" customFormat="1" ht="30.75" customHeight="1">
      <c r="A10" s="224">
        <v>1</v>
      </c>
      <c r="B10" s="163" t="s">
        <v>11</v>
      </c>
      <c r="C10" s="225">
        <f>'照坞预算审核'!F101/2</f>
        <v>20163.7086897</v>
      </c>
      <c r="D10" s="225">
        <f>'照坞预算审核'!L101</f>
        <v>17327.1213402</v>
      </c>
      <c r="E10" s="225">
        <f>'照坞预算审核'!M101</f>
        <v>0</v>
      </c>
      <c r="F10" s="225">
        <f>C10-D10</f>
        <v>2836.5873495000014</v>
      </c>
    </row>
    <row r="11" spans="1:6" s="222" customFormat="1" ht="30.75" customHeight="1">
      <c r="A11" s="224">
        <v>2</v>
      </c>
      <c r="B11" s="163" t="s">
        <v>12</v>
      </c>
      <c r="C11" s="225">
        <f>'照坞预算审核'!F103</f>
        <v>22153.194613750402</v>
      </c>
      <c r="D11" s="225">
        <f>'照坞预算审核'!L102</f>
        <v>18759.496704323203</v>
      </c>
      <c r="E11" s="225">
        <f>'照坞预算审核'!M102</f>
        <v>0</v>
      </c>
      <c r="F11" s="225">
        <f>'照坞预算审核'!N102</f>
        <v>3393.697909427199</v>
      </c>
    </row>
    <row r="12" spans="1:6" s="222" customFormat="1" ht="30.75" customHeight="1">
      <c r="A12" s="224">
        <v>3</v>
      </c>
      <c r="B12" s="163" t="s">
        <v>13</v>
      </c>
      <c r="C12" s="225">
        <f>C10</f>
        <v>20163.7086897</v>
      </c>
      <c r="D12" s="225">
        <f>'照坞预算审核'!L103</f>
        <v>17868.420610867848</v>
      </c>
      <c r="E12" s="225">
        <f>'照坞预算审核'!M103</f>
        <v>0</v>
      </c>
      <c r="F12" s="225">
        <f>'照坞预算审核'!N103</f>
        <v>2295.2880788321527</v>
      </c>
    </row>
    <row r="13" spans="1:6" s="222" customFormat="1" ht="30.75" customHeight="1">
      <c r="A13" s="224" t="s">
        <v>14</v>
      </c>
      <c r="B13" s="224" t="str">
        <f>'照坞预算审核'!H104</f>
        <v>保险费用</v>
      </c>
      <c r="C13" s="225">
        <f>'照坞预算审核'!F104</f>
        <v>6576.729650957151</v>
      </c>
      <c r="D13" s="225">
        <f>'照坞预算审核'!L104</f>
        <v>5743.2081913431075</v>
      </c>
      <c r="E13" s="225">
        <f>'照坞预算审核'!M104</f>
        <v>0</v>
      </c>
      <c r="F13" s="225">
        <f>'照坞预算审核'!N104</f>
        <v>833.5214596140431</v>
      </c>
    </row>
    <row r="14" spans="1:6" s="221" customFormat="1" ht="30.75" customHeight="1">
      <c r="A14" s="224" t="s">
        <v>15</v>
      </c>
      <c r="B14" s="224" t="str">
        <f>'照坞预算审核'!H106</f>
        <v>合计</v>
      </c>
      <c r="C14" s="225">
        <f>C4+C9+C13</f>
        <v>1413304.5876241075</v>
      </c>
      <c r="D14" s="225">
        <f>D4+D9++D13</f>
        <v>1214839.6695267342</v>
      </c>
      <c r="E14" s="225">
        <f>E4+E9+E13</f>
        <v>60726.369000000006</v>
      </c>
      <c r="F14" s="225">
        <f>F13+F9+F4</f>
        <v>259191.28315737334</v>
      </c>
    </row>
  </sheetData>
  <sheetProtection/>
  <mergeCells count="1">
    <mergeCell ref="A1:F1"/>
  </mergeCells>
  <printOptions/>
  <pageMargins left="0.75" right="0.75" top="0.4722222222222222" bottom="0.5118055555555555" header="0.2361111111111111" footer="0.11805555555555555"/>
  <pageSetup fitToHeight="0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SheetLayoutView="100" workbookViewId="0" topLeftCell="A1">
      <pane xSplit="3" ySplit="4" topLeftCell="D97" activePane="bottomRight" state="frozen"/>
      <selection pane="bottomRight" activeCell="H108" sqref="H108"/>
    </sheetView>
  </sheetViews>
  <sheetFormatPr defaultColWidth="17.125" defaultRowHeight="14.25"/>
  <cols>
    <col min="1" max="1" width="5.00390625" style="79" customWidth="1"/>
    <col min="2" max="2" width="27.25390625" style="79" customWidth="1"/>
    <col min="3" max="3" width="4.875" style="79" customWidth="1"/>
    <col min="4" max="4" width="11.50390625" style="95" customWidth="1"/>
    <col min="5" max="5" width="8.50390625" style="96" customWidth="1"/>
    <col min="6" max="6" width="11.625" style="97" customWidth="1"/>
    <col min="7" max="7" width="5.00390625" style="98" customWidth="1"/>
    <col min="8" max="8" width="28.00390625" style="96" customWidth="1"/>
    <col min="9" max="9" width="4.125" style="98" customWidth="1"/>
    <col min="10" max="10" width="8.375" style="98" customWidth="1"/>
    <col min="11" max="11" width="8.625" style="98" customWidth="1"/>
    <col min="12" max="12" width="11.625" style="99" customWidth="1"/>
    <col min="13" max="13" width="8.50390625" style="96" customWidth="1"/>
    <col min="14" max="14" width="11.625" style="99" customWidth="1"/>
    <col min="15" max="15" width="5.375" style="79" customWidth="1"/>
    <col min="16" max="17" width="17.125" style="100" customWidth="1"/>
    <col min="18" max="16384" width="17.125" style="79" customWidth="1"/>
  </cols>
  <sheetData>
    <row r="1" spans="1:17" s="79" customFormat="1" ht="22.5">
      <c r="A1" s="101" t="s">
        <v>16</v>
      </c>
      <c r="B1" s="102"/>
      <c r="C1" s="101"/>
      <c r="D1" s="101"/>
      <c r="E1" s="103"/>
      <c r="F1" s="103"/>
      <c r="G1" s="104"/>
      <c r="H1" s="104"/>
      <c r="I1" s="104"/>
      <c r="J1" s="104"/>
      <c r="K1" s="104"/>
      <c r="L1" s="135"/>
      <c r="M1" s="136"/>
      <c r="N1" s="136"/>
      <c r="P1" s="100"/>
      <c r="Q1" s="100"/>
    </row>
    <row r="2" spans="1:17" s="79" customFormat="1" ht="14.25">
      <c r="A2" s="105"/>
      <c r="B2" s="106"/>
      <c r="C2" s="107"/>
      <c r="D2" s="107"/>
      <c r="E2" s="108"/>
      <c r="F2" s="108"/>
      <c r="G2" s="109"/>
      <c r="H2" s="109"/>
      <c r="I2" s="109"/>
      <c r="J2" s="109"/>
      <c r="K2" s="109"/>
      <c r="L2" s="137"/>
      <c r="M2" s="108" t="s">
        <v>17</v>
      </c>
      <c r="N2" s="138" t="s">
        <v>18</v>
      </c>
      <c r="P2" s="100"/>
      <c r="Q2" s="100"/>
    </row>
    <row r="3" spans="1:17" s="80" customFormat="1" ht="27" customHeight="1">
      <c r="A3" s="110" t="s">
        <v>4</v>
      </c>
      <c r="B3" s="110"/>
      <c r="C3" s="110"/>
      <c r="D3" s="110"/>
      <c r="E3" s="110"/>
      <c r="F3" s="111"/>
      <c r="G3" s="112" t="s">
        <v>5</v>
      </c>
      <c r="H3" s="112"/>
      <c r="I3" s="112"/>
      <c r="J3" s="112"/>
      <c r="K3" s="112"/>
      <c r="L3" s="112"/>
      <c r="M3" s="139" t="s">
        <v>6</v>
      </c>
      <c r="N3" s="139" t="s">
        <v>7</v>
      </c>
      <c r="P3" s="140"/>
      <c r="Q3" s="140"/>
    </row>
    <row r="4" spans="1:17" s="80" customFormat="1" ht="27" customHeight="1">
      <c r="A4" s="113" t="s">
        <v>19</v>
      </c>
      <c r="B4" s="113" t="s">
        <v>20</v>
      </c>
      <c r="C4" s="113" t="s">
        <v>21</v>
      </c>
      <c r="D4" s="113" t="s">
        <v>22</v>
      </c>
      <c r="E4" s="113" t="s">
        <v>23</v>
      </c>
      <c r="F4" s="114" t="s">
        <v>24</v>
      </c>
      <c r="G4" s="113" t="s">
        <v>19</v>
      </c>
      <c r="H4" s="113" t="s">
        <v>20</v>
      </c>
      <c r="I4" s="113" t="s">
        <v>21</v>
      </c>
      <c r="J4" s="113" t="s">
        <v>22</v>
      </c>
      <c r="K4" s="113" t="s">
        <v>23</v>
      </c>
      <c r="L4" s="141" t="s">
        <v>24</v>
      </c>
      <c r="M4" s="139"/>
      <c r="N4" s="139"/>
      <c r="P4" s="140"/>
      <c r="Q4" s="140"/>
    </row>
    <row r="5" spans="1:18" s="81" customFormat="1" ht="27" customHeight="1">
      <c r="A5" s="115" t="s">
        <v>25</v>
      </c>
      <c r="B5" s="115" t="s">
        <v>26</v>
      </c>
      <c r="C5" s="116"/>
      <c r="D5" s="116"/>
      <c r="E5" s="116"/>
      <c r="F5" s="117">
        <f>F6+F34+F58+F87</f>
        <v>1344247.2459800001</v>
      </c>
      <c r="G5" s="115" t="s">
        <v>25</v>
      </c>
      <c r="H5" s="115" t="s">
        <v>26</v>
      </c>
      <c r="I5" s="116"/>
      <c r="J5" s="116"/>
      <c r="K5" s="116"/>
      <c r="L5" s="117">
        <f>L6+L34+L58+L87</f>
        <v>1155141.42268</v>
      </c>
      <c r="M5" s="142">
        <f>M6+M34+M58+M87</f>
        <v>60726.369000000006</v>
      </c>
      <c r="N5" s="142">
        <f>N6+N34+N58+N87</f>
        <v>249832.18835999994</v>
      </c>
      <c r="P5" s="140"/>
      <c r="Q5" s="140"/>
      <c r="R5" s="80"/>
    </row>
    <row r="6" spans="1:18" s="82" customFormat="1" ht="27" customHeight="1">
      <c r="A6" s="118">
        <v>1</v>
      </c>
      <c r="B6" s="119" t="s">
        <v>27</v>
      </c>
      <c r="C6" s="120" t="s">
        <v>18</v>
      </c>
      <c r="D6" s="116"/>
      <c r="E6" s="116"/>
      <c r="F6" s="117">
        <v>377665.24</v>
      </c>
      <c r="G6" s="118">
        <v>1</v>
      </c>
      <c r="H6" s="121" t="s">
        <v>27</v>
      </c>
      <c r="I6" s="143"/>
      <c r="J6" s="143"/>
      <c r="K6" s="144"/>
      <c r="L6" s="117">
        <f>SUM(L7:L33)</f>
        <v>337533.63748</v>
      </c>
      <c r="M6" s="145">
        <f>SUM(M7:M33)</f>
        <v>42416.082</v>
      </c>
      <c r="N6" s="145">
        <f>SUM(N7:N33)</f>
        <v>82547.68057999997</v>
      </c>
      <c r="P6" s="140"/>
      <c r="Q6" s="140"/>
      <c r="R6" s="80"/>
    </row>
    <row r="7" spans="1:18" s="82" customFormat="1" ht="27" customHeight="1">
      <c r="A7" s="25">
        <v>1.1</v>
      </c>
      <c r="B7" s="26" t="s">
        <v>28</v>
      </c>
      <c r="C7" s="27" t="s">
        <v>29</v>
      </c>
      <c r="D7" s="28">
        <v>1</v>
      </c>
      <c r="E7" s="31">
        <v>1000</v>
      </c>
      <c r="F7" s="29">
        <f>D7*E7</f>
        <v>1000</v>
      </c>
      <c r="G7" s="25">
        <v>1.1</v>
      </c>
      <c r="H7" s="26" t="s">
        <v>28</v>
      </c>
      <c r="I7" s="27" t="s">
        <v>29</v>
      </c>
      <c r="J7" s="28">
        <v>1</v>
      </c>
      <c r="K7" s="31">
        <v>1000</v>
      </c>
      <c r="L7" s="146">
        <f aca="true" t="shared" si="0" ref="L7:L12">K7*J7</f>
        <v>1000</v>
      </c>
      <c r="M7" s="147"/>
      <c r="N7" s="147"/>
      <c r="P7" s="140"/>
      <c r="Q7" s="140"/>
      <c r="R7" s="80"/>
    </row>
    <row r="8" spans="1:18" s="83" customFormat="1" ht="27" customHeight="1">
      <c r="A8" s="25">
        <v>1.2</v>
      </c>
      <c r="B8" s="26" t="s">
        <v>30</v>
      </c>
      <c r="C8" s="30" t="s">
        <v>31</v>
      </c>
      <c r="D8" s="28">
        <v>1.9</v>
      </c>
      <c r="E8" s="31">
        <v>834.33</v>
      </c>
      <c r="F8" s="29">
        <f>D8*E8</f>
        <v>1585.227</v>
      </c>
      <c r="G8" s="25">
        <v>1.2</v>
      </c>
      <c r="H8" s="26" t="s">
        <v>30</v>
      </c>
      <c r="I8" s="30" t="s">
        <v>31</v>
      </c>
      <c r="J8" s="28">
        <v>1.9</v>
      </c>
      <c r="K8" s="31">
        <v>748.44</v>
      </c>
      <c r="L8" s="146">
        <f t="shared" si="0"/>
        <v>1422.036</v>
      </c>
      <c r="M8" s="147"/>
      <c r="N8" s="147">
        <f>F8-L8</f>
        <v>163.19100000000003</v>
      </c>
      <c r="P8" s="140"/>
      <c r="Q8" s="140"/>
      <c r="R8" s="80"/>
    </row>
    <row r="9" spans="1:18" s="83" customFormat="1" ht="27" customHeight="1">
      <c r="A9" s="25">
        <v>1.3</v>
      </c>
      <c r="B9" s="26" t="s">
        <v>32</v>
      </c>
      <c r="C9" s="30" t="s">
        <v>31</v>
      </c>
      <c r="D9" s="31">
        <v>0.55</v>
      </c>
      <c r="E9" s="31">
        <v>192.44</v>
      </c>
      <c r="F9" s="29">
        <f>D9*E9</f>
        <v>105.84200000000001</v>
      </c>
      <c r="G9" s="25">
        <v>1.3</v>
      </c>
      <c r="H9" s="26" t="s">
        <v>32</v>
      </c>
      <c r="I9" s="30" t="s">
        <v>31</v>
      </c>
      <c r="J9" s="31">
        <v>0.55</v>
      </c>
      <c r="K9" s="31">
        <v>192.58</v>
      </c>
      <c r="L9" s="146">
        <f t="shared" si="0"/>
        <v>105.91900000000001</v>
      </c>
      <c r="M9" s="147">
        <f>L9-F9</f>
        <v>0.07699999999999818</v>
      </c>
      <c r="N9" s="147"/>
      <c r="P9" s="140"/>
      <c r="Q9" s="140"/>
      <c r="R9" s="80"/>
    </row>
    <row r="10" spans="1:18" s="83" customFormat="1" ht="27" customHeight="1">
      <c r="A10" s="25">
        <v>1.4</v>
      </c>
      <c r="B10" s="26" t="s">
        <v>33</v>
      </c>
      <c r="C10" s="27" t="s">
        <v>29</v>
      </c>
      <c r="D10" s="28">
        <v>1</v>
      </c>
      <c r="E10" s="31">
        <v>2000</v>
      </c>
      <c r="F10" s="29">
        <f>D10*E10</f>
        <v>2000</v>
      </c>
      <c r="G10" s="25">
        <v>1.4</v>
      </c>
      <c r="H10" s="26" t="s">
        <v>34</v>
      </c>
      <c r="I10" s="27" t="s">
        <v>35</v>
      </c>
      <c r="J10" s="148">
        <v>1</v>
      </c>
      <c r="K10" s="43">
        <v>150</v>
      </c>
      <c r="L10" s="146">
        <f t="shared" si="0"/>
        <v>150</v>
      </c>
      <c r="M10" s="147"/>
      <c r="N10" s="147">
        <f>F10-L10</f>
        <v>1850</v>
      </c>
      <c r="P10" s="140"/>
      <c r="Q10" s="140"/>
      <c r="R10" s="80"/>
    </row>
    <row r="11" spans="1:18" s="83" customFormat="1" ht="27" customHeight="1">
      <c r="A11" s="25"/>
      <c r="B11" s="26"/>
      <c r="C11" s="27"/>
      <c r="D11" s="28"/>
      <c r="E11" s="31"/>
      <c r="F11" s="29"/>
      <c r="G11" s="25"/>
      <c r="H11" s="26" t="s">
        <v>36</v>
      </c>
      <c r="I11" s="27" t="s">
        <v>35</v>
      </c>
      <c r="J11" s="148">
        <v>1</v>
      </c>
      <c r="K11" s="43">
        <v>816</v>
      </c>
      <c r="L11" s="146">
        <f t="shared" si="0"/>
        <v>816</v>
      </c>
      <c r="M11" s="147">
        <f>L11-F11</f>
        <v>816</v>
      </c>
      <c r="N11" s="147"/>
      <c r="P11" s="140"/>
      <c r="Q11" s="140"/>
      <c r="R11" s="80"/>
    </row>
    <row r="12" spans="1:18" s="83" customFormat="1" ht="27" customHeight="1">
      <c r="A12" s="25"/>
      <c r="B12" s="26"/>
      <c r="C12" s="27"/>
      <c r="D12" s="28"/>
      <c r="E12" s="31"/>
      <c r="F12" s="29"/>
      <c r="G12" s="25"/>
      <c r="H12" s="26" t="s">
        <v>37</v>
      </c>
      <c r="I12" s="27" t="s">
        <v>35</v>
      </c>
      <c r="J12" s="148">
        <v>1</v>
      </c>
      <c r="K12" s="43">
        <v>780</v>
      </c>
      <c r="L12" s="146">
        <f t="shared" si="0"/>
        <v>780</v>
      </c>
      <c r="M12" s="147">
        <f>L12-F12</f>
        <v>780</v>
      </c>
      <c r="N12" s="147"/>
      <c r="P12" s="140"/>
      <c r="Q12" s="140"/>
      <c r="R12" s="80"/>
    </row>
    <row r="13" spans="1:18" s="83" customFormat="1" ht="27" customHeight="1">
      <c r="A13" s="25">
        <v>1.5</v>
      </c>
      <c r="B13" s="26" t="s">
        <v>38</v>
      </c>
      <c r="C13" s="30" t="s">
        <v>31</v>
      </c>
      <c r="D13" s="28">
        <f>0.24*23.3</f>
        <v>5.592</v>
      </c>
      <c r="E13" s="31">
        <v>834.33</v>
      </c>
      <c r="F13" s="29">
        <f aca="true" t="shared" si="1" ref="F13:F31">D13*E13</f>
        <v>4665.57336</v>
      </c>
      <c r="G13" s="25">
        <v>1.5</v>
      </c>
      <c r="H13" s="26" t="s">
        <v>38</v>
      </c>
      <c r="I13" s="30" t="s">
        <v>31</v>
      </c>
      <c r="J13" s="28">
        <f>0.24*23.3</f>
        <v>5.592</v>
      </c>
      <c r="K13" s="31">
        <v>748.44</v>
      </c>
      <c r="L13" s="146">
        <f aca="true" t="shared" si="2" ref="L13:L20">K13*J13</f>
        <v>4185.27648</v>
      </c>
      <c r="M13" s="147"/>
      <c r="N13" s="147">
        <f>F13-L13</f>
        <v>480.2968799999999</v>
      </c>
      <c r="P13" s="140"/>
      <c r="Q13" s="140"/>
      <c r="R13" s="80"/>
    </row>
    <row r="14" spans="1:18" s="84" customFormat="1" ht="27" customHeight="1">
      <c r="A14" s="25">
        <v>1.6</v>
      </c>
      <c r="B14" s="26" t="s">
        <v>39</v>
      </c>
      <c r="C14" s="30" t="s">
        <v>40</v>
      </c>
      <c r="D14" s="28">
        <v>40.7</v>
      </c>
      <c r="E14" s="122">
        <v>469.51</v>
      </c>
      <c r="F14" s="29">
        <f t="shared" si="1"/>
        <v>19109.057</v>
      </c>
      <c r="G14" s="25">
        <v>1.6</v>
      </c>
      <c r="H14" s="26" t="s">
        <v>39</v>
      </c>
      <c r="I14" s="30" t="s">
        <v>40</v>
      </c>
      <c r="J14" s="28">
        <v>44.4</v>
      </c>
      <c r="K14" s="122">
        <v>452.38</v>
      </c>
      <c r="L14" s="146">
        <f t="shared" si="2"/>
        <v>20085.672</v>
      </c>
      <c r="M14" s="147">
        <f>L14-F14</f>
        <v>976.614999999998</v>
      </c>
      <c r="N14" s="147"/>
      <c r="P14" s="140"/>
      <c r="Q14" s="140"/>
      <c r="R14" s="80"/>
    </row>
    <row r="15" spans="1:18" s="85" customFormat="1" ht="27" customHeight="1">
      <c r="A15" s="25">
        <v>1.7</v>
      </c>
      <c r="B15" s="26" t="s">
        <v>41</v>
      </c>
      <c r="C15" s="43" t="s">
        <v>42</v>
      </c>
      <c r="D15" s="28">
        <v>6.6</v>
      </c>
      <c r="E15" s="31">
        <v>720.43</v>
      </c>
      <c r="F15" s="29">
        <f t="shared" si="1"/>
        <v>4754.838</v>
      </c>
      <c r="G15" s="25">
        <v>1.7</v>
      </c>
      <c r="H15" s="26" t="s">
        <v>41</v>
      </c>
      <c r="I15" s="30" t="s">
        <v>31</v>
      </c>
      <c r="J15" s="28">
        <v>3.6</v>
      </c>
      <c r="K15" s="31">
        <v>706.15</v>
      </c>
      <c r="L15" s="146">
        <f t="shared" si="2"/>
        <v>2542.14</v>
      </c>
      <c r="M15" s="147"/>
      <c r="N15" s="147">
        <f aca="true" t="shared" si="3" ref="N15:N21">F15-L15</f>
        <v>2212.698</v>
      </c>
      <c r="P15" s="140"/>
      <c r="Q15" s="140"/>
      <c r="R15" s="80"/>
    </row>
    <row r="16" spans="1:18" s="85" customFormat="1" ht="27" customHeight="1">
      <c r="A16" s="25">
        <v>1.8</v>
      </c>
      <c r="B16" s="26" t="s">
        <v>43</v>
      </c>
      <c r="C16" s="43" t="s">
        <v>29</v>
      </c>
      <c r="D16" s="28">
        <v>1</v>
      </c>
      <c r="E16" s="31">
        <v>5000</v>
      </c>
      <c r="F16" s="29">
        <f t="shared" si="1"/>
        <v>5000</v>
      </c>
      <c r="G16" s="25">
        <v>1.8</v>
      </c>
      <c r="H16" s="26" t="s">
        <v>43</v>
      </c>
      <c r="I16" s="43" t="s">
        <v>29</v>
      </c>
      <c r="J16" s="28">
        <v>1</v>
      </c>
      <c r="K16" s="31">
        <v>2000</v>
      </c>
      <c r="L16" s="146">
        <f t="shared" si="2"/>
        <v>2000</v>
      </c>
      <c r="M16" s="147"/>
      <c r="N16" s="147">
        <f t="shared" si="3"/>
        <v>3000</v>
      </c>
      <c r="P16" s="140"/>
      <c r="Q16" s="140"/>
      <c r="R16" s="80"/>
    </row>
    <row r="17" spans="1:18" s="85" customFormat="1" ht="25.5" customHeight="1">
      <c r="A17" s="25">
        <v>1.9</v>
      </c>
      <c r="B17" s="26" t="s">
        <v>44</v>
      </c>
      <c r="C17" s="30" t="s">
        <v>40</v>
      </c>
      <c r="D17" s="28">
        <v>1839</v>
      </c>
      <c r="E17" s="31">
        <v>20.45</v>
      </c>
      <c r="F17" s="29">
        <f t="shared" si="1"/>
        <v>37607.549999999996</v>
      </c>
      <c r="G17" s="25">
        <v>1.9</v>
      </c>
      <c r="H17" s="26" t="s">
        <v>44</v>
      </c>
      <c r="I17" s="30" t="s">
        <v>40</v>
      </c>
      <c r="J17" s="28">
        <v>1839</v>
      </c>
      <c r="K17" s="31">
        <v>20.09</v>
      </c>
      <c r="L17" s="146">
        <f t="shared" si="2"/>
        <v>36945.51</v>
      </c>
      <c r="M17" s="147"/>
      <c r="N17" s="147">
        <f t="shared" si="3"/>
        <v>662.0399999999936</v>
      </c>
      <c r="P17" s="140"/>
      <c r="Q17" s="140"/>
      <c r="R17" s="80"/>
    </row>
    <row r="18" spans="1:18" s="85" customFormat="1" ht="25.5" customHeight="1">
      <c r="A18" s="44">
        <v>1.1</v>
      </c>
      <c r="B18" s="26" t="s">
        <v>45</v>
      </c>
      <c r="C18" s="30" t="s">
        <v>31</v>
      </c>
      <c r="D18" s="28">
        <v>27.81</v>
      </c>
      <c r="E18" s="122">
        <v>751.97</v>
      </c>
      <c r="F18" s="29">
        <f t="shared" si="1"/>
        <v>20912.2857</v>
      </c>
      <c r="G18" s="44">
        <v>1.1</v>
      </c>
      <c r="H18" s="26" t="s">
        <v>45</v>
      </c>
      <c r="I18" s="30" t="s">
        <v>31</v>
      </c>
      <c r="J18" s="28">
        <v>24.98</v>
      </c>
      <c r="K18" s="122">
        <v>728.69</v>
      </c>
      <c r="L18" s="146">
        <f t="shared" si="2"/>
        <v>18202.6762</v>
      </c>
      <c r="M18" s="147"/>
      <c r="N18" s="147">
        <f t="shared" si="3"/>
        <v>2709.6094999999987</v>
      </c>
      <c r="P18" s="140"/>
      <c r="Q18" s="140"/>
      <c r="R18" s="80"/>
    </row>
    <row r="19" spans="1:18" s="84" customFormat="1" ht="27" customHeight="1">
      <c r="A19" s="44">
        <v>1.11</v>
      </c>
      <c r="B19" s="26" t="s">
        <v>46</v>
      </c>
      <c r="C19" s="30" t="s">
        <v>40</v>
      </c>
      <c r="D19" s="28">
        <v>248.86</v>
      </c>
      <c r="E19" s="122">
        <v>231.32</v>
      </c>
      <c r="F19" s="29">
        <v>57565.33</v>
      </c>
      <c r="G19" s="44">
        <v>1.11</v>
      </c>
      <c r="H19" s="26" t="s">
        <v>46</v>
      </c>
      <c r="I19" s="30" t="s">
        <v>40</v>
      </c>
      <c r="J19" s="28">
        <v>244.41</v>
      </c>
      <c r="K19" s="122">
        <v>122.38</v>
      </c>
      <c r="L19" s="146">
        <f t="shared" si="2"/>
        <v>29910.8958</v>
      </c>
      <c r="M19" s="147"/>
      <c r="N19" s="147">
        <f t="shared" si="3"/>
        <v>27654.434200000003</v>
      </c>
      <c r="P19" s="140"/>
      <c r="Q19" s="140"/>
      <c r="R19" s="80"/>
    </row>
    <row r="20" spans="1:18" s="84" customFormat="1" ht="27" customHeight="1">
      <c r="A20" s="44">
        <v>1.12</v>
      </c>
      <c r="B20" s="26" t="s">
        <v>47</v>
      </c>
      <c r="C20" s="43" t="s">
        <v>29</v>
      </c>
      <c r="D20" s="28">
        <v>1</v>
      </c>
      <c r="E20" s="31">
        <v>10000</v>
      </c>
      <c r="F20" s="29">
        <f t="shared" si="1"/>
        <v>10000</v>
      </c>
      <c r="G20" s="44">
        <v>1.12</v>
      </c>
      <c r="H20" s="26" t="s">
        <v>47</v>
      </c>
      <c r="I20" s="43" t="s">
        <v>29</v>
      </c>
      <c r="J20" s="28">
        <v>0</v>
      </c>
      <c r="K20" s="31">
        <v>10000</v>
      </c>
      <c r="L20" s="146">
        <f t="shared" si="2"/>
        <v>0</v>
      </c>
      <c r="M20" s="147"/>
      <c r="N20" s="147">
        <f t="shared" si="3"/>
        <v>10000</v>
      </c>
      <c r="O20" s="84" t="s">
        <v>48</v>
      </c>
      <c r="P20" s="140"/>
      <c r="Q20" s="140"/>
      <c r="R20" s="80"/>
    </row>
    <row r="21" spans="1:18" s="84" customFormat="1" ht="27" customHeight="1">
      <c r="A21" s="44"/>
      <c r="B21" s="26"/>
      <c r="C21" s="43"/>
      <c r="D21" s="28"/>
      <c r="E21" s="31"/>
      <c r="F21" s="29"/>
      <c r="G21" s="44"/>
      <c r="H21" s="26" t="s">
        <v>49</v>
      </c>
      <c r="I21" s="43" t="s">
        <v>50</v>
      </c>
      <c r="J21" s="28">
        <v>304.5</v>
      </c>
      <c r="K21" s="31">
        <v>42.72</v>
      </c>
      <c r="L21" s="146">
        <f aca="true" t="shared" si="4" ref="L21:L33">K21*J21</f>
        <v>13008.24</v>
      </c>
      <c r="M21" s="147">
        <f>L21-F21</f>
        <v>13008.24</v>
      </c>
      <c r="N21" s="147"/>
      <c r="P21" s="140"/>
      <c r="Q21" s="140"/>
      <c r="R21" s="80"/>
    </row>
    <row r="22" spans="1:18" s="83" customFormat="1" ht="52.5" customHeight="1">
      <c r="A22" s="44">
        <v>1.13</v>
      </c>
      <c r="B22" s="60" t="s">
        <v>51</v>
      </c>
      <c r="C22" s="56" t="s">
        <v>52</v>
      </c>
      <c r="D22" s="123">
        <v>435</v>
      </c>
      <c r="E22" s="123">
        <v>4.25</v>
      </c>
      <c r="F22" s="29">
        <f aca="true" t="shared" si="5" ref="F22:F27">D22*E22</f>
        <v>1848.75</v>
      </c>
      <c r="G22" s="44">
        <v>1.13</v>
      </c>
      <c r="H22" s="60" t="s">
        <v>51</v>
      </c>
      <c r="I22" s="56" t="s">
        <v>52</v>
      </c>
      <c r="J22" s="123">
        <v>435</v>
      </c>
      <c r="K22" s="123">
        <v>5.77</v>
      </c>
      <c r="L22" s="146">
        <f t="shared" si="4"/>
        <v>2509.95</v>
      </c>
      <c r="M22" s="147">
        <f>L22-F22</f>
        <v>661.1999999999998</v>
      </c>
      <c r="N22" s="147"/>
      <c r="P22" s="140"/>
      <c r="Q22" s="140"/>
      <c r="R22" s="80"/>
    </row>
    <row r="23" spans="1:18" s="86" customFormat="1" ht="27" customHeight="1">
      <c r="A23" s="44">
        <v>1.14</v>
      </c>
      <c r="B23" s="26" t="s">
        <v>53</v>
      </c>
      <c r="C23" s="43" t="s">
        <v>52</v>
      </c>
      <c r="D23" s="28">
        <f>D22</f>
        <v>435</v>
      </c>
      <c r="E23" s="31">
        <v>72.3</v>
      </c>
      <c r="F23" s="29">
        <f t="shared" si="5"/>
        <v>31450.5</v>
      </c>
      <c r="G23" s="44">
        <v>1.14</v>
      </c>
      <c r="H23" s="26" t="s">
        <v>53</v>
      </c>
      <c r="I23" s="43" t="s">
        <v>52</v>
      </c>
      <c r="J23" s="28">
        <v>435</v>
      </c>
      <c r="K23" s="31">
        <v>81.94</v>
      </c>
      <c r="L23" s="146">
        <f t="shared" si="4"/>
        <v>35643.9</v>
      </c>
      <c r="M23" s="147">
        <f aca="true" t="shared" si="6" ref="M23:M28">L23-F23</f>
        <v>4193.4000000000015</v>
      </c>
      <c r="N23" s="147"/>
      <c r="P23" s="140"/>
      <c r="Q23" s="140"/>
      <c r="R23" s="80"/>
    </row>
    <row r="24" spans="1:18" s="84" customFormat="1" ht="27" customHeight="1">
      <c r="A24" s="44">
        <v>1.15</v>
      </c>
      <c r="B24" s="26" t="s">
        <v>54</v>
      </c>
      <c r="C24" s="43" t="s">
        <v>52</v>
      </c>
      <c r="D24" s="28">
        <f>D22</f>
        <v>435</v>
      </c>
      <c r="E24" s="31">
        <v>54.76</v>
      </c>
      <c r="F24" s="29">
        <f t="shared" si="5"/>
        <v>23820.6</v>
      </c>
      <c r="G24" s="44">
        <v>1.15</v>
      </c>
      <c r="H24" s="26" t="s">
        <v>54</v>
      </c>
      <c r="I24" s="43" t="s">
        <v>52</v>
      </c>
      <c r="J24" s="28">
        <v>435</v>
      </c>
      <c r="K24" s="31">
        <v>65.29</v>
      </c>
      <c r="L24" s="146">
        <f t="shared" si="4"/>
        <v>28401.15</v>
      </c>
      <c r="M24" s="147">
        <f t="shared" si="6"/>
        <v>4580.550000000003</v>
      </c>
      <c r="N24" s="147"/>
      <c r="P24" s="140"/>
      <c r="Q24" s="140"/>
      <c r="R24" s="80"/>
    </row>
    <row r="25" spans="1:18" s="84" customFormat="1" ht="27" customHeight="1">
      <c r="A25" s="44">
        <v>1.16</v>
      </c>
      <c r="B25" s="26" t="s">
        <v>55</v>
      </c>
      <c r="C25" s="30" t="s">
        <v>31</v>
      </c>
      <c r="D25" s="28">
        <v>94.2</v>
      </c>
      <c r="E25" s="31">
        <v>633.31</v>
      </c>
      <c r="F25" s="29">
        <f t="shared" si="5"/>
        <v>59657.801999999996</v>
      </c>
      <c r="G25" s="44">
        <v>1.16</v>
      </c>
      <c r="H25" s="26" t="s">
        <v>55</v>
      </c>
      <c r="I25" s="30" t="s">
        <v>31</v>
      </c>
      <c r="J25" s="28">
        <v>94.2</v>
      </c>
      <c r="K25" s="122">
        <v>610.41</v>
      </c>
      <c r="L25" s="146">
        <f t="shared" si="4"/>
        <v>57500.621999999996</v>
      </c>
      <c r="M25" s="147"/>
      <c r="N25" s="147">
        <f>F25-L25</f>
        <v>2157.1800000000003</v>
      </c>
      <c r="P25" s="140"/>
      <c r="Q25" s="140"/>
      <c r="R25" s="80"/>
    </row>
    <row r="26" spans="1:18" s="87" customFormat="1" ht="27" customHeight="1">
      <c r="A26" s="44">
        <v>1.17</v>
      </c>
      <c r="B26" s="26" t="s">
        <v>56</v>
      </c>
      <c r="C26" s="30" t="s">
        <v>31</v>
      </c>
      <c r="D26" s="28">
        <v>45.9</v>
      </c>
      <c r="E26" s="31">
        <v>192.61</v>
      </c>
      <c r="F26" s="29">
        <f t="shared" si="5"/>
        <v>8840.799</v>
      </c>
      <c r="G26" s="44">
        <v>1.17</v>
      </c>
      <c r="H26" s="26" t="s">
        <v>56</v>
      </c>
      <c r="I26" s="30" t="s">
        <v>31</v>
      </c>
      <c r="J26" s="28">
        <v>45.9</v>
      </c>
      <c r="K26" s="31">
        <v>192.58</v>
      </c>
      <c r="L26" s="146">
        <f t="shared" si="4"/>
        <v>8839.422</v>
      </c>
      <c r="M26" s="147"/>
      <c r="N26" s="147">
        <f>F26-L26</f>
        <v>1.3770000000004075</v>
      </c>
      <c r="P26" s="140"/>
      <c r="Q26" s="140"/>
      <c r="R26" s="80"/>
    </row>
    <row r="27" spans="1:18" s="88" customFormat="1" ht="27" customHeight="1">
      <c r="A27" s="44">
        <v>1.18</v>
      </c>
      <c r="B27" s="26" t="s">
        <v>57</v>
      </c>
      <c r="C27" s="30" t="s">
        <v>31</v>
      </c>
      <c r="D27" s="28">
        <v>7.2</v>
      </c>
      <c r="E27" s="31">
        <v>2830.71</v>
      </c>
      <c r="F27" s="29">
        <f t="shared" si="5"/>
        <v>20381.112</v>
      </c>
      <c r="G27" s="44">
        <v>1.18</v>
      </c>
      <c r="H27" s="26" t="s">
        <v>57</v>
      </c>
      <c r="I27" s="30" t="s">
        <v>31</v>
      </c>
      <c r="J27" s="28"/>
      <c r="K27" s="31">
        <v>2830.71</v>
      </c>
      <c r="L27" s="146">
        <f t="shared" si="4"/>
        <v>0</v>
      </c>
      <c r="M27" s="147"/>
      <c r="N27" s="147">
        <f>F27-L27</f>
        <v>20381.112</v>
      </c>
      <c r="P27" s="140"/>
      <c r="Q27" s="140"/>
      <c r="R27" s="80"/>
    </row>
    <row r="28" spans="1:18" s="88" customFormat="1" ht="27" customHeight="1">
      <c r="A28" s="44"/>
      <c r="B28" s="124"/>
      <c r="C28" s="125"/>
      <c r="D28" s="126"/>
      <c r="E28" s="127"/>
      <c r="F28" s="29"/>
      <c r="G28" s="44"/>
      <c r="H28" s="26" t="s">
        <v>58</v>
      </c>
      <c r="I28" s="30" t="s">
        <v>42</v>
      </c>
      <c r="J28" s="28">
        <v>87</v>
      </c>
      <c r="K28" s="31">
        <v>200</v>
      </c>
      <c r="L28" s="146">
        <f t="shared" si="4"/>
        <v>17400</v>
      </c>
      <c r="M28" s="147">
        <f t="shared" si="6"/>
        <v>17400</v>
      </c>
      <c r="N28" s="147"/>
      <c r="P28" s="140"/>
      <c r="Q28" s="140"/>
      <c r="R28" s="80"/>
    </row>
    <row r="29" spans="1:18" s="88" customFormat="1" ht="27" customHeight="1">
      <c r="A29" s="44">
        <v>1.19</v>
      </c>
      <c r="B29" s="128" t="s">
        <v>59</v>
      </c>
      <c r="C29" s="30" t="s">
        <v>31</v>
      </c>
      <c r="D29" s="128">
        <v>15</v>
      </c>
      <c r="E29" s="31">
        <v>85.6</v>
      </c>
      <c r="F29" s="29">
        <f>D29*E29</f>
        <v>1284</v>
      </c>
      <c r="G29" s="44">
        <v>1.19</v>
      </c>
      <c r="H29" s="129" t="s">
        <v>60</v>
      </c>
      <c r="I29" s="30" t="s">
        <v>31</v>
      </c>
      <c r="J29" s="4">
        <v>15</v>
      </c>
      <c r="K29" s="31">
        <v>5.24</v>
      </c>
      <c r="L29" s="146">
        <f t="shared" si="4"/>
        <v>78.60000000000001</v>
      </c>
      <c r="M29" s="147"/>
      <c r="N29" s="147">
        <f>F29-L29</f>
        <v>1205.4</v>
      </c>
      <c r="P29" s="140"/>
      <c r="Q29" s="140"/>
      <c r="R29" s="80"/>
    </row>
    <row r="30" spans="1:18" s="88" customFormat="1" ht="27" customHeight="1">
      <c r="A30" s="44">
        <v>1.2</v>
      </c>
      <c r="B30" s="26" t="s">
        <v>61</v>
      </c>
      <c r="C30" s="30" t="s">
        <v>31</v>
      </c>
      <c r="D30" s="28">
        <v>72</v>
      </c>
      <c r="E30" s="28">
        <v>535.79</v>
      </c>
      <c r="F30" s="29">
        <f>D30*E30</f>
        <v>38576.88</v>
      </c>
      <c r="G30" s="44">
        <v>1.2</v>
      </c>
      <c r="H30" s="26" t="s">
        <v>62</v>
      </c>
      <c r="I30" s="30" t="s">
        <v>31</v>
      </c>
      <c r="J30" s="28">
        <v>72</v>
      </c>
      <c r="K30" s="28">
        <v>453.35</v>
      </c>
      <c r="L30" s="146">
        <f t="shared" si="4"/>
        <v>32641.2</v>
      </c>
      <c r="M30" s="147"/>
      <c r="N30" s="147">
        <f>F30-L30</f>
        <v>5935.679999999997</v>
      </c>
      <c r="P30" s="140"/>
      <c r="Q30" s="140"/>
      <c r="R30" s="80"/>
    </row>
    <row r="31" spans="1:18" s="89" customFormat="1" ht="27" customHeight="1">
      <c r="A31" s="44">
        <v>1.21</v>
      </c>
      <c r="B31" s="26" t="s">
        <v>63</v>
      </c>
      <c r="C31" s="30" t="s">
        <v>31</v>
      </c>
      <c r="D31" s="28">
        <v>21.6</v>
      </c>
      <c r="E31" s="28">
        <v>840.55</v>
      </c>
      <c r="F31" s="28">
        <f>D31*E31</f>
        <v>18155.88</v>
      </c>
      <c r="G31" s="44">
        <v>1.21</v>
      </c>
      <c r="H31" s="26" t="s">
        <v>63</v>
      </c>
      <c r="I31" s="30" t="s">
        <v>31</v>
      </c>
      <c r="J31" s="28">
        <v>21.6</v>
      </c>
      <c r="K31" s="28">
        <v>671.2</v>
      </c>
      <c r="L31" s="146">
        <f t="shared" si="4"/>
        <v>14497.920000000002</v>
      </c>
      <c r="M31" s="147"/>
      <c r="N31" s="147">
        <f>F31-L31</f>
        <v>3657.959999999999</v>
      </c>
      <c r="P31" s="140"/>
      <c r="Q31" s="140"/>
      <c r="R31" s="80"/>
    </row>
    <row r="32" spans="1:18" s="89" customFormat="1" ht="27" customHeight="1">
      <c r="A32" s="44">
        <v>1.22</v>
      </c>
      <c r="B32" s="26" t="s">
        <v>64</v>
      </c>
      <c r="C32" s="27" t="s">
        <v>65</v>
      </c>
      <c r="D32" s="28">
        <v>4</v>
      </c>
      <c r="E32" s="28">
        <v>1000</v>
      </c>
      <c r="F32" s="28">
        <f>D32*E32</f>
        <v>4000</v>
      </c>
      <c r="G32" s="44">
        <v>1.22</v>
      </c>
      <c r="H32" s="26" t="s">
        <v>64</v>
      </c>
      <c r="I32" s="27" t="s">
        <v>65</v>
      </c>
      <c r="J32" s="28">
        <v>4</v>
      </c>
      <c r="K32" s="28">
        <v>1000</v>
      </c>
      <c r="L32" s="146">
        <f t="shared" si="4"/>
        <v>4000</v>
      </c>
      <c r="M32" s="147"/>
      <c r="N32" s="147"/>
      <c r="P32" s="140"/>
      <c r="Q32" s="140"/>
      <c r="R32" s="80"/>
    </row>
    <row r="33" spans="1:18" s="89" customFormat="1" ht="27" customHeight="1">
      <c r="A33" s="44">
        <v>1.23</v>
      </c>
      <c r="B33" s="26" t="s">
        <v>66</v>
      </c>
      <c r="C33" s="130" t="s">
        <v>67</v>
      </c>
      <c r="D33" s="28">
        <v>0.76</v>
      </c>
      <c r="E33" s="31">
        <v>7045.37</v>
      </c>
      <c r="F33" s="28">
        <v>5343.21</v>
      </c>
      <c r="G33" s="44">
        <v>1.23</v>
      </c>
      <c r="H33" s="26" t="s">
        <v>66</v>
      </c>
      <c r="I33" s="130" t="s">
        <v>67</v>
      </c>
      <c r="J33" s="28">
        <v>0.76</v>
      </c>
      <c r="K33" s="31">
        <v>6403.3</v>
      </c>
      <c r="L33" s="146">
        <f t="shared" si="4"/>
        <v>4866.508</v>
      </c>
      <c r="M33" s="147"/>
      <c r="N33" s="147">
        <f>F33-L33</f>
        <v>476.7020000000002</v>
      </c>
      <c r="P33" s="140"/>
      <c r="Q33" s="140"/>
      <c r="R33" s="80"/>
    </row>
    <row r="34" spans="1:18" s="90" customFormat="1" ht="27" customHeight="1">
      <c r="A34" s="25">
        <v>2</v>
      </c>
      <c r="B34" s="26" t="s">
        <v>68</v>
      </c>
      <c r="C34" s="56" t="s">
        <v>18</v>
      </c>
      <c r="D34" s="31"/>
      <c r="E34" s="31"/>
      <c r="F34" s="17">
        <f>SUM(F35:F57)</f>
        <v>535342.8463000001</v>
      </c>
      <c r="G34" s="25">
        <v>2</v>
      </c>
      <c r="H34" s="26" t="s">
        <v>68</v>
      </c>
      <c r="I34" s="56" t="s">
        <v>18</v>
      </c>
      <c r="J34" s="31"/>
      <c r="K34" s="31"/>
      <c r="L34" s="17">
        <f>SUM(L35:L57)</f>
        <v>473831.9716999999</v>
      </c>
      <c r="M34" s="142">
        <f>SUM(M35:M57)</f>
        <v>18120.746</v>
      </c>
      <c r="N34" s="142">
        <f>SUM(N35:N57)</f>
        <v>79631.62059999998</v>
      </c>
      <c r="P34" s="140"/>
      <c r="Q34" s="140"/>
      <c r="R34" s="80"/>
    </row>
    <row r="35" spans="1:18" s="89" customFormat="1" ht="27" customHeight="1">
      <c r="A35" s="34">
        <v>2.1</v>
      </c>
      <c r="B35" s="38" t="s">
        <v>69</v>
      </c>
      <c r="C35" s="39" t="s">
        <v>29</v>
      </c>
      <c r="D35" s="28">
        <v>1</v>
      </c>
      <c r="E35" s="122">
        <v>5000</v>
      </c>
      <c r="F35" s="29">
        <f>D35*E35</f>
        <v>5000</v>
      </c>
      <c r="G35" s="34">
        <v>2.1</v>
      </c>
      <c r="H35" s="38" t="s">
        <v>69</v>
      </c>
      <c r="I35" s="39" t="s">
        <v>29</v>
      </c>
      <c r="J35" s="28">
        <v>1</v>
      </c>
      <c r="K35" s="122">
        <v>5000</v>
      </c>
      <c r="L35" s="146">
        <f aca="true" t="shared" si="7" ref="L35:L48">K35*J35</f>
        <v>5000</v>
      </c>
      <c r="M35" s="147"/>
      <c r="N35" s="147"/>
      <c r="P35" s="140"/>
      <c r="Q35" s="140"/>
      <c r="R35" s="80"/>
    </row>
    <row r="36" spans="1:18" s="89" customFormat="1" ht="27" customHeight="1">
      <c r="A36" s="34">
        <v>2.2</v>
      </c>
      <c r="B36" s="4" t="s">
        <v>70</v>
      </c>
      <c r="C36" s="125" t="s">
        <v>31</v>
      </c>
      <c r="D36" s="4">
        <v>251.88</v>
      </c>
      <c r="E36" s="127">
        <v>67.56</v>
      </c>
      <c r="F36" s="29">
        <f>D36*E36</f>
        <v>17017.0128</v>
      </c>
      <c r="G36" s="34">
        <v>2.2</v>
      </c>
      <c r="H36" s="4" t="s">
        <v>71</v>
      </c>
      <c r="I36" s="125" t="s">
        <v>31</v>
      </c>
      <c r="J36" s="4">
        <v>226.81</v>
      </c>
      <c r="K36" s="127">
        <v>67.76</v>
      </c>
      <c r="L36" s="146">
        <f t="shared" si="7"/>
        <v>15368.645600000002</v>
      </c>
      <c r="M36" s="147"/>
      <c r="N36" s="147">
        <f aca="true" t="shared" si="8" ref="N35:N46">F36-L36</f>
        <v>1648.3671999999988</v>
      </c>
      <c r="P36" s="140"/>
      <c r="Q36" s="140"/>
      <c r="R36" s="80"/>
    </row>
    <row r="37" spans="1:18" s="87" customFormat="1" ht="27" customHeight="1">
      <c r="A37" s="34">
        <v>2.3</v>
      </c>
      <c r="B37" s="38" t="s">
        <v>72</v>
      </c>
      <c r="C37" s="30" t="s">
        <v>31</v>
      </c>
      <c r="D37" s="40">
        <v>150.6</v>
      </c>
      <c r="E37" s="40">
        <f>E36</f>
        <v>67.56</v>
      </c>
      <c r="F37" s="29">
        <v>10172.51</v>
      </c>
      <c r="G37" s="34">
        <v>2.3</v>
      </c>
      <c r="H37" s="38" t="s">
        <v>73</v>
      </c>
      <c r="I37" s="30" t="s">
        <v>31</v>
      </c>
      <c r="J37" s="40">
        <v>161.3</v>
      </c>
      <c r="K37" s="122">
        <f>K36</f>
        <v>67.76</v>
      </c>
      <c r="L37" s="146">
        <f t="shared" si="7"/>
        <v>10929.688000000002</v>
      </c>
      <c r="M37" s="147">
        <f>L37-F37</f>
        <v>757.1780000000017</v>
      </c>
      <c r="N37" s="147"/>
      <c r="P37" s="140"/>
      <c r="Q37" s="140"/>
      <c r="R37" s="80"/>
    </row>
    <row r="38" spans="1:18" s="83" customFormat="1" ht="27" customHeight="1">
      <c r="A38" s="34">
        <v>2.4</v>
      </c>
      <c r="B38" s="48" t="s">
        <v>74</v>
      </c>
      <c r="C38" s="30" t="s">
        <v>31</v>
      </c>
      <c r="D38" s="48">
        <v>50</v>
      </c>
      <c r="E38" s="48">
        <f>E29</f>
        <v>85.6</v>
      </c>
      <c r="F38" s="29">
        <f>D38*E38</f>
        <v>4280</v>
      </c>
      <c r="G38" s="34">
        <v>2.4</v>
      </c>
      <c r="H38" s="131" t="s">
        <v>75</v>
      </c>
      <c r="I38" s="30" t="s">
        <v>31</v>
      </c>
      <c r="J38" s="48">
        <v>50</v>
      </c>
      <c r="K38" s="48">
        <v>19.12</v>
      </c>
      <c r="L38" s="146">
        <f t="shared" si="7"/>
        <v>956</v>
      </c>
      <c r="M38" s="147"/>
      <c r="N38" s="147">
        <f t="shared" si="8"/>
        <v>3324</v>
      </c>
      <c r="P38" s="140"/>
      <c r="Q38" s="140"/>
      <c r="R38" s="80"/>
    </row>
    <row r="39" spans="1:18" s="83" customFormat="1" ht="27" customHeight="1">
      <c r="A39" s="34">
        <v>2.5</v>
      </c>
      <c r="B39" s="48" t="s">
        <v>76</v>
      </c>
      <c r="C39" s="30" t="s">
        <v>31</v>
      </c>
      <c r="D39" s="48">
        <f>D37+D36-D38</f>
        <v>352.48</v>
      </c>
      <c r="E39" s="48">
        <v>20.56</v>
      </c>
      <c r="F39" s="29">
        <v>7246.37</v>
      </c>
      <c r="G39" s="34">
        <v>2.5</v>
      </c>
      <c r="H39" s="48" t="s">
        <v>76</v>
      </c>
      <c r="I39" s="30" t="s">
        <v>31</v>
      </c>
      <c r="J39" s="48"/>
      <c r="K39" s="48">
        <v>26.99</v>
      </c>
      <c r="L39" s="146">
        <f t="shared" si="7"/>
        <v>0</v>
      </c>
      <c r="M39" s="147"/>
      <c r="N39" s="147">
        <f t="shared" si="8"/>
        <v>7246.37</v>
      </c>
      <c r="P39" s="140"/>
      <c r="Q39" s="140"/>
      <c r="R39" s="80"/>
    </row>
    <row r="40" spans="1:18" s="83" customFormat="1" ht="27" customHeight="1">
      <c r="A40" s="34">
        <v>2.6</v>
      </c>
      <c r="B40" s="48" t="s">
        <v>77</v>
      </c>
      <c r="C40" s="125" t="s">
        <v>31</v>
      </c>
      <c r="D40" s="48">
        <v>56.2</v>
      </c>
      <c r="E40" s="31">
        <v>48.5</v>
      </c>
      <c r="F40" s="29">
        <f>D40*E40</f>
        <v>2725.7000000000003</v>
      </c>
      <c r="G40" s="34">
        <v>2.6</v>
      </c>
      <c r="H40" s="48" t="s">
        <v>77</v>
      </c>
      <c r="I40" s="125" t="s">
        <v>31</v>
      </c>
      <c r="J40" s="48">
        <v>56.2</v>
      </c>
      <c r="K40" s="31">
        <v>50.14</v>
      </c>
      <c r="L40" s="146">
        <f t="shared" si="7"/>
        <v>2817.8680000000004</v>
      </c>
      <c r="M40" s="147">
        <f>L40-F40</f>
        <v>92.16800000000012</v>
      </c>
      <c r="N40" s="147"/>
      <c r="P40" s="140"/>
      <c r="Q40" s="140"/>
      <c r="R40" s="80"/>
    </row>
    <row r="41" spans="1:18" s="84" customFormat="1" ht="27" customHeight="1">
      <c r="A41" s="34">
        <v>2.7</v>
      </c>
      <c r="B41" s="48" t="s">
        <v>78</v>
      </c>
      <c r="C41" s="30" t="s">
        <v>31</v>
      </c>
      <c r="D41" s="48">
        <v>30</v>
      </c>
      <c r="E41" s="132">
        <f>E14</f>
        <v>469.51</v>
      </c>
      <c r="F41" s="29">
        <f>D41*E41</f>
        <v>14085.3</v>
      </c>
      <c r="G41" s="34">
        <v>2.7</v>
      </c>
      <c r="H41" s="48" t="s">
        <v>78</v>
      </c>
      <c r="I41" s="30" t="s">
        <v>31</v>
      </c>
      <c r="J41" s="48">
        <v>30</v>
      </c>
      <c r="K41" s="132">
        <v>452.38</v>
      </c>
      <c r="L41" s="146">
        <f t="shared" si="7"/>
        <v>13571.4</v>
      </c>
      <c r="M41" s="147"/>
      <c r="N41" s="147">
        <f t="shared" si="8"/>
        <v>513.8999999999996</v>
      </c>
      <c r="P41" s="140"/>
      <c r="Q41" s="140"/>
      <c r="R41" s="80"/>
    </row>
    <row r="42" spans="1:18" s="84" customFormat="1" ht="27" customHeight="1">
      <c r="A42" s="34">
        <v>2.8</v>
      </c>
      <c r="B42" s="133" t="s">
        <v>79</v>
      </c>
      <c r="C42" s="134" t="s">
        <v>31</v>
      </c>
      <c r="D42" s="4">
        <v>37.38</v>
      </c>
      <c r="E42" s="132">
        <v>785.6</v>
      </c>
      <c r="F42" s="29">
        <f>D42*E42</f>
        <v>29365.728000000003</v>
      </c>
      <c r="G42" s="34">
        <v>2.8</v>
      </c>
      <c r="H42" s="133" t="s">
        <v>79</v>
      </c>
      <c r="I42" s="134" t="s">
        <v>31</v>
      </c>
      <c r="J42" s="1">
        <v>37.38</v>
      </c>
      <c r="K42" s="132">
        <v>694.18</v>
      </c>
      <c r="L42" s="146">
        <f t="shared" si="7"/>
        <v>25948.4484</v>
      </c>
      <c r="M42" s="147"/>
      <c r="N42" s="147">
        <f t="shared" si="8"/>
        <v>3417.2796000000017</v>
      </c>
      <c r="P42" s="140"/>
      <c r="Q42" s="140"/>
      <c r="R42" s="80"/>
    </row>
    <row r="43" spans="1:18" s="84" customFormat="1" ht="27" customHeight="1">
      <c r="A43" s="34">
        <v>2.9</v>
      </c>
      <c r="B43" s="26" t="s">
        <v>80</v>
      </c>
      <c r="C43" s="30" t="s">
        <v>31</v>
      </c>
      <c r="D43" s="28">
        <v>188.91</v>
      </c>
      <c r="E43" s="31">
        <v>734.17</v>
      </c>
      <c r="F43" s="29">
        <f>D43*E43</f>
        <v>138692.05469999998</v>
      </c>
      <c r="G43" s="34">
        <v>2.9</v>
      </c>
      <c r="H43" s="26" t="s">
        <v>80</v>
      </c>
      <c r="I43" s="30" t="s">
        <v>31</v>
      </c>
      <c r="J43" s="28">
        <v>176.14</v>
      </c>
      <c r="K43" s="31">
        <v>746.91</v>
      </c>
      <c r="L43" s="146">
        <f t="shared" si="7"/>
        <v>131560.72739999997</v>
      </c>
      <c r="M43" s="147"/>
      <c r="N43" s="147">
        <f t="shared" si="8"/>
        <v>7131.3273000000045</v>
      </c>
      <c r="P43" s="140"/>
      <c r="Q43" s="140"/>
      <c r="R43" s="80"/>
    </row>
    <row r="44" spans="1:18" s="83" customFormat="1" ht="36.75" customHeight="1">
      <c r="A44" s="44">
        <v>2.1</v>
      </c>
      <c r="B44" s="26" t="s">
        <v>81</v>
      </c>
      <c r="C44" s="30" t="s">
        <v>31</v>
      </c>
      <c r="D44" s="28">
        <v>129.14</v>
      </c>
      <c r="E44" s="31">
        <v>834.17</v>
      </c>
      <c r="F44" s="29">
        <v>107722.04</v>
      </c>
      <c r="G44" s="44">
        <v>2.1</v>
      </c>
      <c r="H44" s="26" t="s">
        <v>81</v>
      </c>
      <c r="I44" s="30" t="s">
        <v>31</v>
      </c>
      <c r="J44" s="28">
        <v>113.34</v>
      </c>
      <c r="K44" s="31">
        <v>749.64</v>
      </c>
      <c r="L44" s="146">
        <f t="shared" si="7"/>
        <v>84964.1976</v>
      </c>
      <c r="M44" s="147"/>
      <c r="N44" s="147">
        <f t="shared" si="8"/>
        <v>22757.842399999994</v>
      </c>
      <c r="P44" s="140"/>
      <c r="Q44" s="140"/>
      <c r="R44" s="80"/>
    </row>
    <row r="45" spans="1:18" s="84" customFormat="1" ht="27" customHeight="1">
      <c r="A45" s="44">
        <v>2.11</v>
      </c>
      <c r="B45" s="38" t="s">
        <v>82</v>
      </c>
      <c r="C45" s="39" t="s">
        <v>29</v>
      </c>
      <c r="D45" s="40">
        <v>1</v>
      </c>
      <c r="E45" s="40">
        <v>20000</v>
      </c>
      <c r="F45" s="29">
        <f>D45*E45</f>
        <v>20000</v>
      </c>
      <c r="G45" s="44">
        <v>2.11</v>
      </c>
      <c r="H45" s="38" t="s">
        <v>82</v>
      </c>
      <c r="I45" s="39" t="s">
        <v>29</v>
      </c>
      <c r="J45" s="40">
        <v>0</v>
      </c>
      <c r="K45" s="40">
        <v>20000</v>
      </c>
      <c r="L45" s="146">
        <f t="shared" si="7"/>
        <v>0</v>
      </c>
      <c r="M45" s="147"/>
      <c r="N45" s="147">
        <f t="shared" si="8"/>
        <v>20000</v>
      </c>
      <c r="P45" s="140"/>
      <c r="Q45" s="140"/>
      <c r="R45" s="80"/>
    </row>
    <row r="46" spans="1:18" s="84" customFormat="1" ht="27" customHeight="1">
      <c r="A46" s="44"/>
      <c r="B46" s="38"/>
      <c r="C46" s="39"/>
      <c r="D46" s="40"/>
      <c r="E46" s="40"/>
      <c r="F46" s="29"/>
      <c r="G46" s="44"/>
      <c r="H46" s="38" t="s">
        <v>83</v>
      </c>
      <c r="I46" s="30" t="s">
        <v>31</v>
      </c>
      <c r="J46" s="40">
        <f>43.8+32.4+1.6</f>
        <v>77.79999999999998</v>
      </c>
      <c r="K46" s="40">
        <v>158.07</v>
      </c>
      <c r="L46" s="146">
        <f t="shared" si="7"/>
        <v>12297.845999999996</v>
      </c>
      <c r="M46" s="147">
        <f>L46-F46</f>
        <v>12297.845999999996</v>
      </c>
      <c r="N46" s="147"/>
      <c r="P46" s="140"/>
      <c r="Q46" s="140"/>
      <c r="R46" s="80"/>
    </row>
    <row r="47" spans="1:18" s="84" customFormat="1" ht="27" customHeight="1">
      <c r="A47" s="44">
        <v>2.12</v>
      </c>
      <c r="B47" s="38" t="s">
        <v>84</v>
      </c>
      <c r="C47" s="30" t="s">
        <v>31</v>
      </c>
      <c r="D47" s="40">
        <v>3.3</v>
      </c>
      <c r="E47" s="31">
        <v>633.11</v>
      </c>
      <c r="F47" s="29">
        <v>2117.12</v>
      </c>
      <c r="G47" s="44">
        <v>2.12</v>
      </c>
      <c r="H47" s="38" t="s">
        <v>84</v>
      </c>
      <c r="I47" s="30" t="s">
        <v>31</v>
      </c>
      <c r="J47" s="40">
        <v>3.6</v>
      </c>
      <c r="K47" s="31">
        <v>641.19</v>
      </c>
      <c r="L47" s="146">
        <f t="shared" si="7"/>
        <v>2308.284</v>
      </c>
      <c r="M47" s="147">
        <f aca="true" t="shared" si="9" ref="M47:M57">L47-F47</f>
        <v>191.16400000000021</v>
      </c>
      <c r="N47" s="147"/>
      <c r="P47" s="140"/>
      <c r="Q47" s="140"/>
      <c r="R47" s="80"/>
    </row>
    <row r="48" spans="1:18" s="87" customFormat="1" ht="27" customHeight="1">
      <c r="A48" s="44">
        <v>2.13</v>
      </c>
      <c r="B48" s="38" t="s">
        <v>85</v>
      </c>
      <c r="C48" s="30" t="s">
        <v>31</v>
      </c>
      <c r="D48" s="40">
        <v>16.9</v>
      </c>
      <c r="E48" s="31">
        <v>633.11</v>
      </c>
      <c r="F48" s="29">
        <v>10697.03</v>
      </c>
      <c r="G48" s="44">
        <v>2.13</v>
      </c>
      <c r="H48" s="38" t="s">
        <v>85</v>
      </c>
      <c r="I48" s="30" t="s">
        <v>31</v>
      </c>
      <c r="J48" s="40">
        <v>17.3</v>
      </c>
      <c r="K48" s="31">
        <v>641.19</v>
      </c>
      <c r="L48" s="146">
        <f t="shared" si="7"/>
        <v>11092.587000000001</v>
      </c>
      <c r="M48" s="147">
        <f t="shared" si="9"/>
        <v>395.5570000000007</v>
      </c>
      <c r="N48" s="147"/>
      <c r="P48" s="140"/>
      <c r="Q48" s="140"/>
      <c r="R48" s="80"/>
    </row>
    <row r="49" spans="1:18" s="83" customFormat="1" ht="27" customHeight="1">
      <c r="A49" s="44">
        <v>2.14</v>
      </c>
      <c r="B49" s="38" t="s">
        <v>86</v>
      </c>
      <c r="C49" s="30" t="s">
        <v>31</v>
      </c>
      <c r="D49" s="40">
        <v>43.8</v>
      </c>
      <c r="E49" s="31">
        <v>852.04</v>
      </c>
      <c r="F49" s="29">
        <v>37353.43</v>
      </c>
      <c r="G49" s="44">
        <v>2.14</v>
      </c>
      <c r="H49" s="38" t="s">
        <v>86</v>
      </c>
      <c r="I49" s="30" t="s">
        <v>31</v>
      </c>
      <c r="J49" s="40">
        <v>43.8</v>
      </c>
      <c r="K49" s="31">
        <v>913.11</v>
      </c>
      <c r="L49" s="29">
        <f>J49*K49</f>
        <v>39994.218</v>
      </c>
      <c r="M49" s="147">
        <f t="shared" si="9"/>
        <v>2640.7880000000005</v>
      </c>
      <c r="N49" s="147"/>
      <c r="P49" s="140"/>
      <c r="Q49" s="140"/>
      <c r="R49" s="80"/>
    </row>
    <row r="50" spans="1:18" s="83" customFormat="1" ht="27" customHeight="1">
      <c r="A50" s="44">
        <v>2.15</v>
      </c>
      <c r="B50" s="38" t="s">
        <v>87</v>
      </c>
      <c r="C50" s="30" t="s">
        <v>31</v>
      </c>
      <c r="D50" s="40">
        <v>32.4</v>
      </c>
      <c r="E50" s="40">
        <v>1070.39</v>
      </c>
      <c r="F50" s="29">
        <f aca="true" t="shared" si="10" ref="F50:F57">D50*E50</f>
        <v>34680.636</v>
      </c>
      <c r="G50" s="44">
        <v>2.15</v>
      </c>
      <c r="H50" s="38" t="s">
        <v>87</v>
      </c>
      <c r="I50" s="30" t="s">
        <v>31</v>
      </c>
      <c r="J50" s="40">
        <v>32.4</v>
      </c>
      <c r="K50" s="40">
        <v>1008.93</v>
      </c>
      <c r="L50" s="146">
        <f aca="true" t="shared" si="11" ref="L48:L79">K50*J50</f>
        <v>32689.332</v>
      </c>
      <c r="M50" s="147"/>
      <c r="N50" s="147">
        <f>F50-L50</f>
        <v>1991.304</v>
      </c>
      <c r="P50" s="140"/>
      <c r="Q50" s="140"/>
      <c r="R50" s="80"/>
    </row>
    <row r="51" spans="1:18" s="84" customFormat="1" ht="27" customHeight="1">
      <c r="A51" s="44">
        <v>2.16</v>
      </c>
      <c r="B51" s="60" t="s">
        <v>51</v>
      </c>
      <c r="C51" s="56" t="s">
        <v>52</v>
      </c>
      <c r="D51" s="123">
        <v>80.5</v>
      </c>
      <c r="E51" s="123">
        <v>4.25</v>
      </c>
      <c r="F51" s="29">
        <f t="shared" si="10"/>
        <v>342.125</v>
      </c>
      <c r="G51" s="44">
        <v>2.16</v>
      </c>
      <c r="H51" s="60" t="s">
        <v>51</v>
      </c>
      <c r="I51" s="56" t="s">
        <v>52</v>
      </c>
      <c r="J51" s="123">
        <v>80.5</v>
      </c>
      <c r="K51" s="123">
        <f>K22</f>
        <v>5.77</v>
      </c>
      <c r="L51" s="146">
        <f t="shared" si="11"/>
        <v>464.48499999999996</v>
      </c>
      <c r="M51" s="147">
        <f t="shared" si="9"/>
        <v>122.35999999999996</v>
      </c>
      <c r="N51" s="147"/>
      <c r="P51" s="140"/>
      <c r="Q51" s="140"/>
      <c r="R51" s="80"/>
    </row>
    <row r="52" spans="1:18" s="83" customFormat="1" ht="27" customHeight="1">
      <c r="A52" s="44">
        <v>2.17</v>
      </c>
      <c r="B52" s="26" t="s">
        <v>53</v>
      </c>
      <c r="C52" s="43" t="s">
        <v>52</v>
      </c>
      <c r="D52" s="28">
        <v>80.5</v>
      </c>
      <c r="E52" s="31">
        <v>72.3</v>
      </c>
      <c r="F52" s="29">
        <f t="shared" si="10"/>
        <v>5820.15</v>
      </c>
      <c r="G52" s="44">
        <v>2.17</v>
      </c>
      <c r="H52" s="26" t="s">
        <v>53</v>
      </c>
      <c r="I52" s="43" t="s">
        <v>52</v>
      </c>
      <c r="J52" s="28">
        <v>80.5</v>
      </c>
      <c r="K52" s="31">
        <f>K23</f>
        <v>81.94</v>
      </c>
      <c r="L52" s="146">
        <f t="shared" si="11"/>
        <v>6596.17</v>
      </c>
      <c r="M52" s="147">
        <f t="shared" si="9"/>
        <v>776.0200000000004</v>
      </c>
      <c r="N52" s="147"/>
      <c r="P52" s="140"/>
      <c r="Q52" s="140"/>
      <c r="R52" s="80"/>
    </row>
    <row r="53" spans="1:18" s="83" customFormat="1" ht="27" customHeight="1">
      <c r="A53" s="44">
        <v>2.18</v>
      </c>
      <c r="B53" s="26" t="s">
        <v>54</v>
      </c>
      <c r="C53" s="43" t="s">
        <v>52</v>
      </c>
      <c r="D53" s="28">
        <f>D51</f>
        <v>80.5</v>
      </c>
      <c r="E53" s="31">
        <v>54.76</v>
      </c>
      <c r="F53" s="29">
        <f t="shared" si="10"/>
        <v>4408.18</v>
      </c>
      <c r="G53" s="44">
        <v>2.18</v>
      </c>
      <c r="H53" s="26" t="s">
        <v>54</v>
      </c>
      <c r="I53" s="43" t="s">
        <v>52</v>
      </c>
      <c r="J53" s="28">
        <f>J51</f>
        <v>80.5</v>
      </c>
      <c r="K53" s="31">
        <f>K24</f>
        <v>65.29</v>
      </c>
      <c r="L53" s="146">
        <f t="shared" si="11"/>
        <v>5255.845</v>
      </c>
      <c r="M53" s="147">
        <f t="shared" si="9"/>
        <v>847.665</v>
      </c>
      <c r="N53" s="147"/>
      <c r="P53" s="140"/>
      <c r="Q53" s="140"/>
      <c r="R53" s="80"/>
    </row>
    <row r="54" spans="1:18" s="83" customFormat="1" ht="27" customHeight="1">
      <c r="A54" s="44">
        <v>2.19</v>
      </c>
      <c r="B54" s="26" t="s">
        <v>88</v>
      </c>
      <c r="C54" s="43" t="s">
        <v>67</v>
      </c>
      <c r="D54" s="28">
        <v>8.54</v>
      </c>
      <c r="E54" s="31">
        <v>7045.37</v>
      </c>
      <c r="F54" s="29">
        <f t="shared" si="10"/>
        <v>60167.45979999999</v>
      </c>
      <c r="G54" s="44">
        <v>2.19</v>
      </c>
      <c r="H54" s="26" t="s">
        <v>88</v>
      </c>
      <c r="I54" s="43" t="s">
        <v>67</v>
      </c>
      <c r="J54" s="28">
        <v>8.39</v>
      </c>
      <c r="K54" s="31">
        <f>K33</f>
        <v>6403.3</v>
      </c>
      <c r="L54" s="146">
        <f t="shared" si="11"/>
        <v>53723.687000000005</v>
      </c>
      <c r="M54" s="147"/>
      <c r="N54" s="147">
        <f>F54-L54</f>
        <v>6443.772799999984</v>
      </c>
      <c r="P54" s="140"/>
      <c r="Q54" s="140"/>
      <c r="R54" s="80"/>
    </row>
    <row r="55" spans="1:18" s="84" customFormat="1" ht="27" customHeight="1">
      <c r="A55" s="44">
        <v>2.2</v>
      </c>
      <c r="B55" s="38" t="s">
        <v>89</v>
      </c>
      <c r="C55" s="39" t="s">
        <v>42</v>
      </c>
      <c r="D55" s="40">
        <v>46</v>
      </c>
      <c r="E55" s="40">
        <v>300</v>
      </c>
      <c r="F55" s="29">
        <f t="shared" si="10"/>
        <v>13800</v>
      </c>
      <c r="G55" s="44">
        <v>2.2</v>
      </c>
      <c r="H55" s="38" t="s">
        <v>89</v>
      </c>
      <c r="I55" s="39" t="s">
        <v>42</v>
      </c>
      <c r="J55" s="40">
        <v>46</v>
      </c>
      <c r="K55" s="40">
        <v>280</v>
      </c>
      <c r="L55" s="146">
        <f t="shared" si="11"/>
        <v>12880</v>
      </c>
      <c r="M55" s="147"/>
      <c r="N55" s="147">
        <f>F55-L55</f>
        <v>920</v>
      </c>
      <c r="P55" s="140"/>
      <c r="Q55" s="140"/>
      <c r="R55" s="80"/>
    </row>
    <row r="56" spans="1:18" s="84" customFormat="1" ht="27" customHeight="1">
      <c r="A56" s="44">
        <v>2.21</v>
      </c>
      <c r="B56" s="38" t="s">
        <v>90</v>
      </c>
      <c r="C56" s="39" t="s">
        <v>29</v>
      </c>
      <c r="D56" s="40">
        <v>1</v>
      </c>
      <c r="E56" s="40">
        <v>2000</v>
      </c>
      <c r="F56" s="29">
        <f t="shared" si="10"/>
        <v>2000</v>
      </c>
      <c r="G56" s="44">
        <v>2.21</v>
      </c>
      <c r="H56" s="38" t="s">
        <v>90</v>
      </c>
      <c r="I56" s="39" t="s">
        <v>29</v>
      </c>
      <c r="J56" s="40">
        <v>1</v>
      </c>
      <c r="K56" s="40">
        <v>600</v>
      </c>
      <c r="L56" s="146">
        <f t="shared" si="11"/>
        <v>600</v>
      </c>
      <c r="M56" s="147"/>
      <c r="N56" s="147">
        <f>F56-L56</f>
        <v>1400</v>
      </c>
      <c r="P56" s="140"/>
      <c r="Q56" s="140"/>
      <c r="R56" s="80"/>
    </row>
    <row r="57" spans="1:18" s="84" customFormat="1" ht="27" customHeight="1">
      <c r="A57" s="44">
        <v>2.22</v>
      </c>
      <c r="B57" s="26" t="s">
        <v>91</v>
      </c>
      <c r="C57" s="43" t="s">
        <v>52</v>
      </c>
      <c r="D57" s="28">
        <v>60</v>
      </c>
      <c r="E57" s="28">
        <v>127.5</v>
      </c>
      <c r="F57" s="29">
        <f t="shared" si="10"/>
        <v>7650</v>
      </c>
      <c r="G57" s="44">
        <v>2.22</v>
      </c>
      <c r="H57" s="26" t="s">
        <v>92</v>
      </c>
      <c r="I57" s="43" t="s">
        <v>52</v>
      </c>
      <c r="J57" s="28">
        <v>34.67</v>
      </c>
      <c r="K57" s="28">
        <v>138.81</v>
      </c>
      <c r="L57" s="146">
        <f t="shared" si="11"/>
        <v>4812.5427</v>
      </c>
      <c r="M57" s="147"/>
      <c r="N57" s="147">
        <f>F57-L57</f>
        <v>2837.4573</v>
      </c>
      <c r="P57" s="140"/>
      <c r="Q57" s="140"/>
      <c r="R57" s="80"/>
    </row>
    <row r="58" spans="1:18" s="84" customFormat="1" ht="27" customHeight="1">
      <c r="A58" s="25">
        <v>3</v>
      </c>
      <c r="B58" s="26" t="s">
        <v>8</v>
      </c>
      <c r="C58" s="56" t="s">
        <v>18</v>
      </c>
      <c r="D58" s="31"/>
      <c r="E58" s="31"/>
      <c r="F58" s="17">
        <f>SUM(F59:F86)</f>
        <v>331462.78968</v>
      </c>
      <c r="G58" s="25">
        <v>3</v>
      </c>
      <c r="H58" s="26" t="s">
        <v>8</v>
      </c>
      <c r="I58" s="56" t="s">
        <v>18</v>
      </c>
      <c r="J58" s="31"/>
      <c r="K58" s="31"/>
      <c r="L58" s="17">
        <f>SUM(L59:L86)</f>
        <v>265755.9535</v>
      </c>
      <c r="M58" s="149">
        <f>SUM(M59:M86)</f>
        <v>188.7009999999998</v>
      </c>
      <c r="N58" s="149">
        <f>SUM(N59:N86)</f>
        <v>65895.53718</v>
      </c>
      <c r="P58" s="140"/>
      <c r="Q58" s="140"/>
      <c r="R58" s="80"/>
    </row>
    <row r="59" spans="1:18" s="84" customFormat="1" ht="27" customHeight="1">
      <c r="A59" s="25">
        <v>3.1</v>
      </c>
      <c r="B59" s="26" t="s">
        <v>93</v>
      </c>
      <c r="C59" s="30" t="s">
        <v>31</v>
      </c>
      <c r="D59" s="31">
        <v>50</v>
      </c>
      <c r="E59" s="31">
        <v>3.27</v>
      </c>
      <c r="F59" s="29">
        <f aca="true" t="shared" si="12" ref="F59:F86">D59*E59</f>
        <v>163.5</v>
      </c>
      <c r="G59" s="25">
        <v>3.1</v>
      </c>
      <c r="H59" s="26" t="s">
        <v>93</v>
      </c>
      <c r="I59" s="30" t="s">
        <v>31</v>
      </c>
      <c r="J59" s="31">
        <v>50</v>
      </c>
      <c r="K59" s="31">
        <v>3.35</v>
      </c>
      <c r="L59" s="146">
        <f t="shared" si="11"/>
        <v>167.5</v>
      </c>
      <c r="M59" s="147">
        <f>L59-F59</f>
        <v>4</v>
      </c>
      <c r="N59" s="147"/>
      <c r="P59" s="140"/>
      <c r="Q59" s="140"/>
      <c r="R59" s="80"/>
    </row>
    <row r="60" spans="1:18" s="84" customFormat="1" ht="27" customHeight="1">
      <c r="A60" s="25">
        <v>3.2</v>
      </c>
      <c r="B60" s="26" t="s">
        <v>94</v>
      </c>
      <c r="C60" s="30" t="s">
        <v>31</v>
      </c>
      <c r="D60" s="31">
        <v>50</v>
      </c>
      <c r="E60" s="31">
        <v>8.18</v>
      </c>
      <c r="F60" s="29">
        <f t="shared" si="12"/>
        <v>409</v>
      </c>
      <c r="G60" s="25">
        <v>3.2</v>
      </c>
      <c r="H60" s="26" t="s">
        <v>94</v>
      </c>
      <c r="I60" s="30" t="s">
        <v>31</v>
      </c>
      <c r="J60" s="31">
        <v>50</v>
      </c>
      <c r="K60" s="31">
        <v>7.11</v>
      </c>
      <c r="L60" s="146">
        <f t="shared" si="11"/>
        <v>355.5</v>
      </c>
      <c r="M60" s="147"/>
      <c r="N60" s="147">
        <f>F60-L60</f>
        <v>53.5</v>
      </c>
      <c r="P60" s="140"/>
      <c r="Q60" s="140"/>
      <c r="R60" s="80"/>
    </row>
    <row r="61" spans="1:18" s="87" customFormat="1" ht="27" customHeight="1">
      <c r="A61" s="25">
        <v>3.3</v>
      </c>
      <c r="B61" s="26" t="s">
        <v>95</v>
      </c>
      <c r="C61" s="30" t="s">
        <v>31</v>
      </c>
      <c r="D61" s="31">
        <v>126.4</v>
      </c>
      <c r="E61" s="31">
        <v>67.56</v>
      </c>
      <c r="F61" s="29">
        <f t="shared" si="12"/>
        <v>8539.584</v>
      </c>
      <c r="G61" s="25">
        <v>3.3</v>
      </c>
      <c r="H61" s="26" t="s">
        <v>95</v>
      </c>
      <c r="I61" s="30" t="s">
        <v>31</v>
      </c>
      <c r="J61" s="31">
        <v>126.4</v>
      </c>
      <c r="K61" s="31">
        <v>59.89</v>
      </c>
      <c r="L61" s="146">
        <f t="shared" si="11"/>
        <v>7570.0960000000005</v>
      </c>
      <c r="M61" s="147"/>
      <c r="N61" s="147">
        <f>F61-L61</f>
        <v>969.4880000000003</v>
      </c>
      <c r="P61" s="140"/>
      <c r="Q61" s="140"/>
      <c r="R61" s="80"/>
    </row>
    <row r="62" spans="1:18" s="84" customFormat="1" ht="27" customHeight="1">
      <c r="A62" s="25">
        <v>3.4</v>
      </c>
      <c r="B62" s="26" t="s">
        <v>96</v>
      </c>
      <c r="C62" s="30" t="s">
        <v>31</v>
      </c>
      <c r="D62" s="31">
        <v>4.54</v>
      </c>
      <c r="E62" s="31">
        <v>836.99</v>
      </c>
      <c r="F62" s="29">
        <f t="shared" si="12"/>
        <v>3799.9346</v>
      </c>
      <c r="G62" s="25">
        <v>3.4</v>
      </c>
      <c r="H62" s="26" t="s">
        <v>96</v>
      </c>
      <c r="I62" s="30" t="s">
        <v>31</v>
      </c>
      <c r="J62" s="31">
        <v>4.33</v>
      </c>
      <c r="K62" s="31">
        <v>762.28</v>
      </c>
      <c r="L62" s="146">
        <f t="shared" si="11"/>
        <v>3300.6724</v>
      </c>
      <c r="M62" s="147"/>
      <c r="N62" s="147">
        <f>F62-L62</f>
        <v>499.2622000000001</v>
      </c>
      <c r="P62" s="140"/>
      <c r="Q62" s="140"/>
      <c r="R62" s="80"/>
    </row>
    <row r="63" spans="1:18" s="86" customFormat="1" ht="27" customHeight="1">
      <c r="A63" s="25">
        <v>3.5</v>
      </c>
      <c r="B63" s="26" t="s">
        <v>97</v>
      </c>
      <c r="C63" s="30" t="s">
        <v>31</v>
      </c>
      <c r="D63" s="31">
        <v>31.65</v>
      </c>
      <c r="E63" s="31">
        <v>439.44</v>
      </c>
      <c r="F63" s="29">
        <f t="shared" si="12"/>
        <v>13908.276</v>
      </c>
      <c r="G63" s="25">
        <v>3.5</v>
      </c>
      <c r="H63" s="26" t="s">
        <v>97</v>
      </c>
      <c r="I63" s="30" t="s">
        <v>31</v>
      </c>
      <c r="J63" s="31">
        <v>26.71</v>
      </c>
      <c r="K63" s="31">
        <v>452.38</v>
      </c>
      <c r="L63" s="146">
        <f t="shared" si="11"/>
        <v>12083.069800000001</v>
      </c>
      <c r="M63" s="147"/>
      <c r="N63" s="147">
        <f>F63-L63</f>
        <v>1825.2061999999987</v>
      </c>
      <c r="P63" s="140"/>
      <c r="Q63" s="140"/>
      <c r="R63" s="80"/>
    </row>
    <row r="64" spans="1:18" s="84" customFormat="1" ht="27" customHeight="1">
      <c r="A64" s="25">
        <v>3.6</v>
      </c>
      <c r="B64" s="26" t="s">
        <v>98</v>
      </c>
      <c r="C64" s="30" t="s">
        <v>31</v>
      </c>
      <c r="D64" s="31">
        <v>3.328</v>
      </c>
      <c r="E64" s="31">
        <v>851.46</v>
      </c>
      <c r="F64" s="29">
        <f t="shared" si="12"/>
        <v>2833.65888</v>
      </c>
      <c r="G64" s="25">
        <v>3.6</v>
      </c>
      <c r="H64" s="26" t="s">
        <v>98</v>
      </c>
      <c r="I64" s="30" t="s">
        <v>31</v>
      </c>
      <c r="J64" s="31">
        <v>3.328</v>
      </c>
      <c r="K64" s="31">
        <v>824.55</v>
      </c>
      <c r="L64" s="146">
        <f t="shared" si="11"/>
        <v>2744.1023999999998</v>
      </c>
      <c r="M64" s="147"/>
      <c r="N64" s="147">
        <f>F64-L64</f>
        <v>89.55648000000019</v>
      </c>
      <c r="P64" s="140"/>
      <c r="Q64" s="140"/>
      <c r="R64" s="80"/>
    </row>
    <row r="65" spans="1:18" s="84" customFormat="1" ht="27" customHeight="1">
      <c r="A65" s="25">
        <v>3.7</v>
      </c>
      <c r="B65" s="26" t="s">
        <v>99</v>
      </c>
      <c r="C65" s="30" t="s">
        <v>31</v>
      </c>
      <c r="D65" s="28">
        <v>11.25</v>
      </c>
      <c r="E65" s="31">
        <v>633.11</v>
      </c>
      <c r="F65" s="29">
        <f t="shared" si="12"/>
        <v>7122.4875</v>
      </c>
      <c r="G65" s="25">
        <v>3.7</v>
      </c>
      <c r="H65" s="26" t="s">
        <v>99</v>
      </c>
      <c r="I65" s="30" t="s">
        <v>31</v>
      </c>
      <c r="J65" s="28">
        <v>9.78</v>
      </c>
      <c r="K65" s="31">
        <v>641.19</v>
      </c>
      <c r="L65" s="146">
        <f t="shared" si="11"/>
        <v>6270.8382</v>
      </c>
      <c r="M65" s="147"/>
      <c r="N65" s="147">
        <f aca="true" t="shared" si="13" ref="N64:N86">F65-L65</f>
        <v>851.6493</v>
      </c>
      <c r="P65" s="140"/>
      <c r="Q65" s="140"/>
      <c r="R65" s="80"/>
    </row>
    <row r="66" spans="1:18" s="84" customFormat="1" ht="28.5">
      <c r="A66" s="25">
        <v>3.8</v>
      </c>
      <c r="B66" s="46" t="s">
        <v>100</v>
      </c>
      <c r="C66" s="32" t="s">
        <v>42</v>
      </c>
      <c r="D66" s="33">
        <v>10</v>
      </c>
      <c r="E66" s="150">
        <v>10804.05</v>
      </c>
      <c r="F66" s="29">
        <f t="shared" si="12"/>
        <v>108040.5</v>
      </c>
      <c r="G66" s="25">
        <v>3.8</v>
      </c>
      <c r="H66" s="46" t="s">
        <v>101</v>
      </c>
      <c r="I66" s="32" t="s">
        <v>42</v>
      </c>
      <c r="J66" s="33">
        <v>10</v>
      </c>
      <c r="K66" s="150">
        <v>7173.51</v>
      </c>
      <c r="L66" s="146">
        <f t="shared" si="11"/>
        <v>71735.1</v>
      </c>
      <c r="M66" s="147"/>
      <c r="N66" s="147">
        <f t="shared" si="13"/>
        <v>36305.399999999994</v>
      </c>
      <c r="P66" s="140"/>
      <c r="Q66" s="140"/>
      <c r="R66" s="80"/>
    </row>
    <row r="67" spans="1:18" s="84" customFormat="1" ht="27" customHeight="1">
      <c r="A67" s="25">
        <v>3.9</v>
      </c>
      <c r="B67" s="26" t="s">
        <v>102</v>
      </c>
      <c r="C67" s="43" t="s">
        <v>29</v>
      </c>
      <c r="D67" s="31">
        <v>1</v>
      </c>
      <c r="E67" s="31">
        <v>5000</v>
      </c>
      <c r="F67" s="29">
        <f t="shared" si="12"/>
        <v>5000</v>
      </c>
      <c r="G67" s="25">
        <v>3.9</v>
      </c>
      <c r="H67" s="26" t="s">
        <v>102</v>
      </c>
      <c r="I67" s="43" t="s">
        <v>29</v>
      </c>
      <c r="J67" s="31">
        <v>1</v>
      </c>
      <c r="K67" s="31">
        <v>1000</v>
      </c>
      <c r="L67" s="146">
        <f t="shared" si="11"/>
        <v>1000</v>
      </c>
      <c r="M67" s="147"/>
      <c r="N67" s="147">
        <f t="shared" si="13"/>
        <v>4000</v>
      </c>
      <c r="P67" s="140"/>
      <c r="Q67" s="140"/>
      <c r="R67" s="80"/>
    </row>
    <row r="68" spans="1:18" s="84" customFormat="1" ht="27" customHeight="1">
      <c r="A68" s="44">
        <v>3.1</v>
      </c>
      <c r="B68" s="26" t="s">
        <v>103</v>
      </c>
      <c r="C68" s="43" t="s">
        <v>42</v>
      </c>
      <c r="D68" s="28">
        <v>16</v>
      </c>
      <c r="E68" s="31">
        <v>850</v>
      </c>
      <c r="F68" s="29">
        <f t="shared" si="12"/>
        <v>13600</v>
      </c>
      <c r="G68" s="44">
        <v>3.1</v>
      </c>
      <c r="H68" s="26" t="s">
        <v>103</v>
      </c>
      <c r="I68" s="43" t="s">
        <v>42</v>
      </c>
      <c r="J68" s="28">
        <v>5</v>
      </c>
      <c r="K68" s="31">
        <v>1874.34</v>
      </c>
      <c r="L68" s="146">
        <f t="shared" si="11"/>
        <v>9371.699999999999</v>
      </c>
      <c r="M68" s="147"/>
      <c r="N68" s="147">
        <f t="shared" si="13"/>
        <v>4228.300000000001</v>
      </c>
      <c r="P68" s="140"/>
      <c r="Q68" s="140"/>
      <c r="R68" s="80"/>
    </row>
    <row r="69" spans="1:18" s="87" customFormat="1" ht="27" customHeight="1">
      <c r="A69" s="44">
        <v>3.11</v>
      </c>
      <c r="B69" s="26" t="s">
        <v>104</v>
      </c>
      <c r="C69" s="43" t="s">
        <v>29</v>
      </c>
      <c r="D69" s="31">
        <v>1</v>
      </c>
      <c r="E69" s="31">
        <v>2000</v>
      </c>
      <c r="F69" s="29">
        <f t="shared" si="12"/>
        <v>2000</v>
      </c>
      <c r="G69" s="44">
        <v>3.11</v>
      </c>
      <c r="H69" s="26" t="s">
        <v>104</v>
      </c>
      <c r="I69" s="43" t="s">
        <v>105</v>
      </c>
      <c r="J69" s="31">
        <v>4</v>
      </c>
      <c r="K69" s="31">
        <v>500</v>
      </c>
      <c r="L69" s="146">
        <f t="shared" si="11"/>
        <v>2000</v>
      </c>
      <c r="M69" s="147"/>
      <c r="N69" s="147"/>
      <c r="P69" s="140"/>
      <c r="Q69" s="140"/>
      <c r="R69" s="80"/>
    </row>
    <row r="70" spans="1:18" s="91" customFormat="1" ht="27" customHeight="1">
      <c r="A70" s="44">
        <v>3.12</v>
      </c>
      <c r="B70" s="26" t="s">
        <v>106</v>
      </c>
      <c r="C70" s="45" t="s">
        <v>107</v>
      </c>
      <c r="D70" s="31">
        <v>1</v>
      </c>
      <c r="E70" s="31">
        <v>10000</v>
      </c>
      <c r="F70" s="29">
        <f t="shared" si="12"/>
        <v>10000</v>
      </c>
      <c r="G70" s="44">
        <v>3.12</v>
      </c>
      <c r="H70" s="26" t="s">
        <v>106</v>
      </c>
      <c r="I70" s="45" t="s">
        <v>107</v>
      </c>
      <c r="J70" s="31">
        <v>1</v>
      </c>
      <c r="K70" s="31">
        <v>10000</v>
      </c>
      <c r="L70" s="146">
        <f t="shared" si="11"/>
        <v>10000</v>
      </c>
      <c r="M70" s="147"/>
      <c r="N70" s="147"/>
      <c r="P70" s="140"/>
      <c r="Q70" s="140"/>
      <c r="R70" s="80"/>
    </row>
    <row r="71" spans="1:18" s="91" customFormat="1" ht="27" customHeight="1">
      <c r="A71" s="44">
        <v>3.13</v>
      </c>
      <c r="B71" s="46" t="s">
        <v>108</v>
      </c>
      <c r="C71" s="43" t="s">
        <v>35</v>
      </c>
      <c r="D71" s="33">
        <v>1</v>
      </c>
      <c r="E71" s="33">
        <v>15000</v>
      </c>
      <c r="F71" s="29">
        <f t="shared" si="12"/>
        <v>15000</v>
      </c>
      <c r="G71" s="44">
        <v>3.13</v>
      </c>
      <c r="H71" s="46" t="s">
        <v>108</v>
      </c>
      <c r="I71" s="43" t="s">
        <v>35</v>
      </c>
      <c r="J71" s="33">
        <v>1</v>
      </c>
      <c r="K71" s="33">
        <v>15000</v>
      </c>
      <c r="L71" s="146">
        <f t="shared" si="11"/>
        <v>15000</v>
      </c>
      <c r="M71" s="147"/>
      <c r="N71" s="147"/>
      <c r="P71" s="140"/>
      <c r="Q71" s="140"/>
      <c r="R71" s="80"/>
    </row>
    <row r="72" spans="1:18" s="91" customFormat="1" ht="36.75" customHeight="1">
      <c r="A72" s="44">
        <v>3.14</v>
      </c>
      <c r="B72" s="26" t="s">
        <v>109</v>
      </c>
      <c r="C72" s="30" t="s">
        <v>31</v>
      </c>
      <c r="D72" s="28">
        <v>3.6</v>
      </c>
      <c r="E72" s="122">
        <v>751.97</v>
      </c>
      <c r="F72" s="29">
        <f t="shared" si="12"/>
        <v>2707.092</v>
      </c>
      <c r="G72" s="44">
        <v>3.14</v>
      </c>
      <c r="H72" s="26" t="s">
        <v>109</v>
      </c>
      <c r="I72" s="30" t="s">
        <v>31</v>
      </c>
      <c r="J72" s="28">
        <v>3.6</v>
      </c>
      <c r="K72" s="122">
        <v>762.28</v>
      </c>
      <c r="L72" s="146">
        <f t="shared" si="11"/>
        <v>2744.208</v>
      </c>
      <c r="M72" s="147">
        <f>L72-F72</f>
        <v>37.115999999999985</v>
      </c>
      <c r="N72" s="147"/>
      <c r="P72" s="140"/>
      <c r="Q72" s="140"/>
      <c r="R72" s="80"/>
    </row>
    <row r="73" spans="1:18" s="91" customFormat="1" ht="27" customHeight="1">
      <c r="A73" s="44">
        <v>3.15</v>
      </c>
      <c r="B73" s="1" t="s">
        <v>110</v>
      </c>
      <c r="C73" s="30" t="s">
        <v>31</v>
      </c>
      <c r="D73" s="33">
        <v>1.89</v>
      </c>
      <c r="E73" s="33">
        <f>E13</f>
        <v>834.33</v>
      </c>
      <c r="F73" s="29">
        <f t="shared" si="12"/>
        <v>1576.8837</v>
      </c>
      <c r="G73" s="44">
        <v>3.15</v>
      </c>
      <c r="H73" s="1" t="s">
        <v>110</v>
      </c>
      <c r="I73" s="30" t="s">
        <v>31</v>
      </c>
      <c r="J73" s="33">
        <v>1.89</v>
      </c>
      <c r="K73" s="33">
        <v>743.98</v>
      </c>
      <c r="L73" s="146">
        <f t="shared" si="11"/>
        <v>1406.1222</v>
      </c>
      <c r="M73" s="147"/>
      <c r="N73" s="147">
        <f t="shared" si="13"/>
        <v>170.76150000000007</v>
      </c>
      <c r="P73" s="140"/>
      <c r="Q73" s="140"/>
      <c r="R73" s="80"/>
    </row>
    <row r="74" spans="1:18" s="85" customFormat="1" ht="27" customHeight="1">
      <c r="A74" s="44">
        <v>3.16</v>
      </c>
      <c r="B74" s="26" t="s">
        <v>88</v>
      </c>
      <c r="C74" s="43" t="s">
        <v>67</v>
      </c>
      <c r="D74" s="28">
        <v>0.15</v>
      </c>
      <c r="E74" s="31">
        <v>7045.37</v>
      </c>
      <c r="F74" s="29">
        <f t="shared" si="12"/>
        <v>1056.8055</v>
      </c>
      <c r="G74" s="44">
        <v>3.16</v>
      </c>
      <c r="H74" s="26" t="s">
        <v>88</v>
      </c>
      <c r="I74" s="43" t="s">
        <v>67</v>
      </c>
      <c r="J74" s="28">
        <v>0.15</v>
      </c>
      <c r="K74" s="31">
        <v>6403.3</v>
      </c>
      <c r="L74" s="146">
        <f t="shared" si="11"/>
        <v>960.495</v>
      </c>
      <c r="M74" s="147"/>
      <c r="N74" s="147">
        <f t="shared" si="13"/>
        <v>96.31049999999993</v>
      </c>
      <c r="P74" s="140"/>
      <c r="Q74" s="140"/>
      <c r="R74" s="80"/>
    </row>
    <row r="75" spans="1:18" s="85" customFormat="1" ht="27" customHeight="1">
      <c r="A75" s="44">
        <v>3.17</v>
      </c>
      <c r="B75" s="26" t="s">
        <v>111</v>
      </c>
      <c r="C75" s="27" t="s">
        <v>29</v>
      </c>
      <c r="D75" s="28">
        <v>1</v>
      </c>
      <c r="E75" s="31">
        <v>5000</v>
      </c>
      <c r="F75" s="29">
        <f t="shared" si="12"/>
        <v>5000</v>
      </c>
      <c r="G75" s="44">
        <v>3.17</v>
      </c>
      <c r="H75" s="26" t="s">
        <v>111</v>
      </c>
      <c r="I75" s="27" t="s">
        <v>29</v>
      </c>
      <c r="J75" s="28">
        <v>1</v>
      </c>
      <c r="K75" s="31">
        <v>5000</v>
      </c>
      <c r="L75" s="146">
        <f t="shared" si="11"/>
        <v>5000</v>
      </c>
      <c r="M75" s="147"/>
      <c r="N75" s="147"/>
      <c r="P75" s="140"/>
      <c r="Q75" s="140"/>
      <c r="R75" s="80"/>
    </row>
    <row r="76" spans="1:18" s="85" customFormat="1" ht="27" customHeight="1">
      <c r="A76" s="44">
        <v>3.18</v>
      </c>
      <c r="B76" s="26" t="s">
        <v>112</v>
      </c>
      <c r="C76" s="27" t="s">
        <v>29</v>
      </c>
      <c r="D76" s="28">
        <v>1</v>
      </c>
      <c r="E76" s="31">
        <v>2000</v>
      </c>
      <c r="F76" s="29">
        <f t="shared" si="12"/>
        <v>2000</v>
      </c>
      <c r="G76" s="44">
        <v>3.18</v>
      </c>
      <c r="H76" s="26" t="s">
        <v>112</v>
      </c>
      <c r="I76" s="27" t="s">
        <v>29</v>
      </c>
      <c r="J76" s="28">
        <v>0</v>
      </c>
      <c r="K76" s="31">
        <v>2000</v>
      </c>
      <c r="L76" s="146">
        <f t="shared" si="11"/>
        <v>0</v>
      </c>
      <c r="M76" s="147"/>
      <c r="N76" s="147">
        <f t="shared" si="13"/>
        <v>2000</v>
      </c>
      <c r="P76" s="140"/>
      <c r="Q76" s="140"/>
      <c r="R76" s="80"/>
    </row>
    <row r="77" spans="1:18" s="85" customFormat="1" ht="27" customHeight="1">
      <c r="A77" s="44">
        <v>3.19</v>
      </c>
      <c r="B77" s="26" t="s">
        <v>113</v>
      </c>
      <c r="C77" s="43" t="s">
        <v>42</v>
      </c>
      <c r="D77" s="28">
        <v>396.9</v>
      </c>
      <c r="E77" s="122">
        <v>252.38</v>
      </c>
      <c r="F77" s="29">
        <f t="shared" si="12"/>
        <v>100169.62199999999</v>
      </c>
      <c r="G77" s="44">
        <v>3.19</v>
      </c>
      <c r="H77" s="26" t="s">
        <v>113</v>
      </c>
      <c r="I77" s="43" t="s">
        <v>42</v>
      </c>
      <c r="J77" s="28">
        <v>386.27</v>
      </c>
      <c r="K77" s="122">
        <v>246.34</v>
      </c>
      <c r="L77" s="146">
        <f t="shared" si="11"/>
        <v>95153.7518</v>
      </c>
      <c r="M77" s="147"/>
      <c r="N77" s="147">
        <f t="shared" si="13"/>
        <v>5015.87019999999</v>
      </c>
      <c r="P77" s="140"/>
      <c r="Q77" s="140"/>
      <c r="R77" s="80"/>
    </row>
    <row r="78" spans="1:18" s="85" customFormat="1" ht="27" customHeight="1">
      <c r="A78" s="44">
        <v>3.2</v>
      </c>
      <c r="B78" s="26" t="s">
        <v>114</v>
      </c>
      <c r="C78" s="30" t="s">
        <v>42</v>
      </c>
      <c r="D78" s="28">
        <v>21</v>
      </c>
      <c r="E78" s="28">
        <v>341.3</v>
      </c>
      <c r="F78" s="29">
        <f t="shared" si="12"/>
        <v>7167.3</v>
      </c>
      <c r="G78" s="44">
        <v>3.2</v>
      </c>
      <c r="H78" s="26" t="s">
        <v>114</v>
      </c>
      <c r="I78" s="30" t="s">
        <v>42</v>
      </c>
      <c r="J78" s="28">
        <v>21</v>
      </c>
      <c r="K78" s="28">
        <v>344.01</v>
      </c>
      <c r="L78" s="146">
        <f t="shared" si="11"/>
        <v>7224.21</v>
      </c>
      <c r="M78" s="147">
        <f>L78-F78</f>
        <v>56.909999999999854</v>
      </c>
      <c r="N78" s="147"/>
      <c r="P78" s="140"/>
      <c r="Q78" s="140"/>
      <c r="R78" s="80"/>
    </row>
    <row r="79" spans="1:18" s="85" customFormat="1" ht="27" customHeight="1">
      <c r="A79" s="44">
        <v>3.21</v>
      </c>
      <c r="B79" s="26" t="s">
        <v>115</v>
      </c>
      <c r="C79" s="43" t="s">
        <v>42</v>
      </c>
      <c r="D79" s="28">
        <v>396.94</v>
      </c>
      <c r="E79" s="122">
        <v>20.37</v>
      </c>
      <c r="F79" s="29">
        <v>8085.71</v>
      </c>
      <c r="G79" s="44">
        <v>3.21</v>
      </c>
      <c r="H79" s="26" t="s">
        <v>115</v>
      </c>
      <c r="I79" s="43" t="s">
        <v>42</v>
      </c>
      <c r="J79" s="28">
        <v>386.27</v>
      </c>
      <c r="K79" s="122">
        <v>19.28</v>
      </c>
      <c r="L79" s="146">
        <f t="shared" si="11"/>
        <v>7447.2856</v>
      </c>
      <c r="M79" s="147"/>
      <c r="N79" s="147">
        <f t="shared" si="13"/>
        <v>638.4243999999999</v>
      </c>
      <c r="P79" s="140"/>
      <c r="Q79" s="140"/>
      <c r="R79" s="80"/>
    </row>
    <row r="80" spans="1:18" s="84" customFormat="1" ht="27" customHeight="1">
      <c r="A80" s="44">
        <v>3.22</v>
      </c>
      <c r="B80" s="26" t="s">
        <v>116</v>
      </c>
      <c r="C80" s="30" t="s">
        <v>31</v>
      </c>
      <c r="D80" s="28">
        <v>3.5</v>
      </c>
      <c r="E80" s="122">
        <v>633.92</v>
      </c>
      <c r="F80" s="29">
        <f t="shared" si="12"/>
        <v>2218.72</v>
      </c>
      <c r="G80" s="44">
        <v>3.22</v>
      </c>
      <c r="H80" s="26" t="s">
        <v>116</v>
      </c>
      <c r="I80" s="30" t="s">
        <v>31</v>
      </c>
      <c r="J80" s="28">
        <v>0</v>
      </c>
      <c r="K80" s="122">
        <v>640.53</v>
      </c>
      <c r="L80" s="146">
        <f aca="true" t="shared" si="14" ref="L80:L99">K80*J80</f>
        <v>0</v>
      </c>
      <c r="M80" s="147"/>
      <c r="N80" s="147">
        <f t="shared" si="13"/>
        <v>2218.72</v>
      </c>
      <c r="P80" s="140"/>
      <c r="Q80" s="140"/>
      <c r="R80" s="80"/>
    </row>
    <row r="81" spans="1:18" s="86" customFormat="1" ht="27" customHeight="1">
      <c r="A81" s="44">
        <v>3.23</v>
      </c>
      <c r="B81" s="26" t="s">
        <v>117</v>
      </c>
      <c r="C81" s="30" t="s">
        <v>31</v>
      </c>
      <c r="D81" s="28">
        <v>2.55</v>
      </c>
      <c r="E81" s="31">
        <v>439.44</v>
      </c>
      <c r="F81" s="29">
        <f t="shared" si="12"/>
        <v>1120.572</v>
      </c>
      <c r="G81" s="44">
        <v>3.23</v>
      </c>
      <c r="H81" s="26" t="s">
        <v>117</v>
      </c>
      <c r="I81" s="30" t="s">
        <v>31</v>
      </c>
      <c r="J81" s="28">
        <v>2.55</v>
      </c>
      <c r="K81" s="31">
        <v>422.6</v>
      </c>
      <c r="L81" s="146">
        <f t="shared" si="14"/>
        <v>1077.6299999999999</v>
      </c>
      <c r="M81" s="142"/>
      <c r="N81" s="147">
        <f t="shared" si="13"/>
        <v>42.94200000000001</v>
      </c>
      <c r="P81" s="140"/>
      <c r="Q81" s="140"/>
      <c r="R81" s="80"/>
    </row>
    <row r="82" spans="1:18" s="84" customFormat="1" ht="27" customHeight="1">
      <c r="A82" s="44">
        <v>3.24</v>
      </c>
      <c r="B82" s="26" t="s">
        <v>118</v>
      </c>
      <c r="C82" s="30" t="s">
        <v>31</v>
      </c>
      <c r="D82" s="28">
        <v>0.45</v>
      </c>
      <c r="E82" s="31">
        <v>720.43</v>
      </c>
      <c r="F82" s="29">
        <f t="shared" si="12"/>
        <v>324.1935</v>
      </c>
      <c r="G82" s="44">
        <v>3.24</v>
      </c>
      <c r="H82" s="26" t="s">
        <v>118</v>
      </c>
      <c r="I82" s="30" t="s">
        <v>31</v>
      </c>
      <c r="J82" s="28">
        <v>0.45</v>
      </c>
      <c r="K82" s="31">
        <v>641.19</v>
      </c>
      <c r="L82" s="146">
        <f t="shared" si="14"/>
        <v>288.5355</v>
      </c>
      <c r="M82" s="147"/>
      <c r="N82" s="147">
        <f t="shared" si="13"/>
        <v>35.65799999999996</v>
      </c>
      <c r="P82" s="140"/>
      <c r="Q82" s="140"/>
      <c r="R82" s="80"/>
    </row>
    <row r="83" spans="1:18" s="84" customFormat="1" ht="27" customHeight="1">
      <c r="A83" s="44">
        <v>3.25</v>
      </c>
      <c r="B83" s="26" t="s">
        <v>119</v>
      </c>
      <c r="C83" s="30" t="s">
        <v>31</v>
      </c>
      <c r="D83" s="28">
        <v>7.5</v>
      </c>
      <c r="E83" s="31">
        <v>165.14</v>
      </c>
      <c r="F83" s="29">
        <f t="shared" si="12"/>
        <v>1238.55</v>
      </c>
      <c r="G83" s="44">
        <v>3.25</v>
      </c>
      <c r="H83" s="26" t="s">
        <v>119</v>
      </c>
      <c r="I83" s="30" t="s">
        <v>31</v>
      </c>
      <c r="J83" s="28">
        <v>7.5</v>
      </c>
      <c r="K83" s="31">
        <v>177.23</v>
      </c>
      <c r="L83" s="146">
        <f t="shared" si="14"/>
        <v>1329.225</v>
      </c>
      <c r="M83" s="147">
        <f>L83-F83</f>
        <v>90.67499999999995</v>
      </c>
      <c r="N83" s="147"/>
      <c r="P83" s="140"/>
      <c r="Q83" s="140"/>
      <c r="R83" s="80"/>
    </row>
    <row r="84" spans="1:18" s="84" customFormat="1" ht="27" customHeight="1">
      <c r="A84" s="44">
        <v>3.26</v>
      </c>
      <c r="B84" s="26" t="s">
        <v>120</v>
      </c>
      <c r="C84" s="30" t="s">
        <v>31</v>
      </c>
      <c r="D84" s="31">
        <v>15</v>
      </c>
      <c r="E84" s="31">
        <v>332.5</v>
      </c>
      <c r="F84" s="29">
        <f t="shared" si="12"/>
        <v>4987.5</v>
      </c>
      <c r="G84" s="44">
        <v>3.26</v>
      </c>
      <c r="H84" s="26" t="s">
        <v>120</v>
      </c>
      <c r="I84" s="30" t="s">
        <v>31</v>
      </c>
      <c r="J84" s="31">
        <v>2.55</v>
      </c>
      <c r="K84" s="31">
        <v>318.5</v>
      </c>
      <c r="L84" s="146">
        <f t="shared" si="14"/>
        <v>812.175</v>
      </c>
      <c r="M84" s="147"/>
      <c r="N84" s="147">
        <f t="shared" si="13"/>
        <v>4175.325</v>
      </c>
      <c r="P84" s="140"/>
      <c r="Q84" s="140"/>
      <c r="R84" s="80"/>
    </row>
    <row r="85" spans="1:18" s="84" customFormat="1" ht="27" customHeight="1">
      <c r="A85" s="44">
        <v>3.27</v>
      </c>
      <c r="B85" s="26" t="s">
        <v>32</v>
      </c>
      <c r="C85" s="30" t="s">
        <v>31</v>
      </c>
      <c r="D85" s="31">
        <v>10</v>
      </c>
      <c r="E85" s="31">
        <v>192.44</v>
      </c>
      <c r="F85" s="29">
        <f t="shared" si="12"/>
        <v>1924.4</v>
      </c>
      <c r="G85" s="44">
        <v>3.27</v>
      </c>
      <c r="H85" s="26" t="s">
        <v>32</v>
      </c>
      <c r="I85" s="30" t="s">
        <v>31</v>
      </c>
      <c r="J85" s="31">
        <v>1.98</v>
      </c>
      <c r="K85" s="31">
        <v>192.58</v>
      </c>
      <c r="L85" s="146">
        <f t="shared" si="14"/>
        <v>381.3084</v>
      </c>
      <c r="M85" s="147"/>
      <c r="N85" s="147">
        <f t="shared" si="13"/>
        <v>1543.0916000000002</v>
      </c>
      <c r="P85" s="140"/>
      <c r="Q85" s="140"/>
      <c r="R85" s="80"/>
    </row>
    <row r="86" spans="1:18" s="91" customFormat="1" ht="27" customHeight="1">
      <c r="A86" s="44">
        <v>3.28</v>
      </c>
      <c r="B86" s="26" t="s">
        <v>121</v>
      </c>
      <c r="C86" s="30" t="s">
        <v>31</v>
      </c>
      <c r="D86" s="31">
        <v>30</v>
      </c>
      <c r="E86" s="151">
        <v>48.95</v>
      </c>
      <c r="F86" s="29">
        <f t="shared" si="12"/>
        <v>1468.5</v>
      </c>
      <c r="G86" s="44">
        <v>3.28</v>
      </c>
      <c r="H86" s="26" t="s">
        <v>121</v>
      </c>
      <c r="I86" s="30" t="s">
        <v>31</v>
      </c>
      <c r="J86" s="31">
        <v>6.63</v>
      </c>
      <c r="K86" s="151">
        <v>50.14</v>
      </c>
      <c r="L86" s="146">
        <f t="shared" si="14"/>
        <v>332.4282</v>
      </c>
      <c r="M86" s="147"/>
      <c r="N86" s="147">
        <f t="shared" si="13"/>
        <v>1136.0718</v>
      </c>
      <c r="P86" s="140"/>
      <c r="Q86" s="140"/>
      <c r="R86" s="80"/>
    </row>
    <row r="87" spans="1:18" s="87" customFormat="1" ht="27" customHeight="1">
      <c r="A87" s="25">
        <v>4</v>
      </c>
      <c r="B87" s="26" t="s">
        <v>9</v>
      </c>
      <c r="C87" s="56" t="s">
        <v>18</v>
      </c>
      <c r="D87" s="31"/>
      <c r="E87" s="31"/>
      <c r="F87" s="17">
        <f>SUM(F88:F99)</f>
        <v>99776.37</v>
      </c>
      <c r="G87" s="25">
        <v>4</v>
      </c>
      <c r="H87" s="26" t="s">
        <v>9</v>
      </c>
      <c r="I87" s="56" t="s">
        <v>18</v>
      </c>
      <c r="J87" s="174"/>
      <c r="K87" s="175"/>
      <c r="L87" s="17">
        <f>SUM(L88:L99)</f>
        <v>78019.86</v>
      </c>
      <c r="M87" s="147">
        <f>SUM(M88:M99)</f>
        <v>0.8400000000001455</v>
      </c>
      <c r="N87" s="149">
        <f>SUM(N88:N99)</f>
        <v>21757.35</v>
      </c>
      <c r="P87" s="140"/>
      <c r="Q87" s="140"/>
      <c r="R87" s="80"/>
    </row>
    <row r="88" spans="1:18" s="83" customFormat="1" ht="27" customHeight="1">
      <c r="A88" s="25">
        <v>4.1</v>
      </c>
      <c r="B88" s="26" t="s">
        <v>122</v>
      </c>
      <c r="C88" s="27" t="s">
        <v>65</v>
      </c>
      <c r="D88" s="152">
        <v>16</v>
      </c>
      <c r="E88" s="31">
        <v>300</v>
      </c>
      <c r="F88" s="29">
        <f aca="true" t="shared" si="15" ref="F88:F99">D88*E88</f>
        <v>4800</v>
      </c>
      <c r="G88" s="25">
        <v>4.1</v>
      </c>
      <c r="H88" s="26" t="s">
        <v>122</v>
      </c>
      <c r="I88" s="27" t="s">
        <v>65</v>
      </c>
      <c r="J88" s="152">
        <v>14</v>
      </c>
      <c r="K88" s="31">
        <v>300</v>
      </c>
      <c r="L88" s="146">
        <f t="shared" si="14"/>
        <v>4200</v>
      </c>
      <c r="M88" s="147"/>
      <c r="N88" s="147">
        <f>F88-L88</f>
        <v>600</v>
      </c>
      <c r="P88" s="140"/>
      <c r="Q88" s="140"/>
      <c r="R88" s="80"/>
    </row>
    <row r="89" spans="1:18" s="83" customFormat="1" ht="27" customHeight="1">
      <c r="A89" s="25">
        <v>4.2</v>
      </c>
      <c r="B89" s="26" t="s">
        <v>123</v>
      </c>
      <c r="C89" s="153" t="s">
        <v>124</v>
      </c>
      <c r="D89" s="31">
        <v>6</v>
      </c>
      <c r="E89" s="31">
        <v>2500</v>
      </c>
      <c r="F89" s="154">
        <f t="shared" si="15"/>
        <v>15000</v>
      </c>
      <c r="G89" s="25">
        <v>4.2</v>
      </c>
      <c r="H89" s="26" t="s">
        <v>123</v>
      </c>
      <c r="I89" s="153" t="s">
        <v>124</v>
      </c>
      <c r="J89" s="31">
        <v>6</v>
      </c>
      <c r="K89" s="31">
        <v>800</v>
      </c>
      <c r="L89" s="146">
        <f t="shared" si="14"/>
        <v>4800</v>
      </c>
      <c r="M89" s="147"/>
      <c r="N89" s="147">
        <f>F89-L89</f>
        <v>10200</v>
      </c>
      <c r="P89" s="140"/>
      <c r="Q89" s="140"/>
      <c r="R89" s="80"/>
    </row>
    <row r="90" spans="1:18" s="83" customFormat="1" ht="27" customHeight="1">
      <c r="A90" s="25">
        <v>4.3</v>
      </c>
      <c r="B90" s="26" t="s">
        <v>125</v>
      </c>
      <c r="C90" s="153" t="s">
        <v>42</v>
      </c>
      <c r="D90" s="31">
        <v>66.6</v>
      </c>
      <c r="E90" s="31">
        <v>350</v>
      </c>
      <c r="F90" s="29">
        <f t="shared" si="15"/>
        <v>23309.999999999996</v>
      </c>
      <c r="G90" s="25">
        <v>4.3</v>
      </c>
      <c r="H90" s="26" t="s">
        <v>125</v>
      </c>
      <c r="I90" s="153" t="s">
        <v>42</v>
      </c>
      <c r="J90" s="31">
        <v>66.6</v>
      </c>
      <c r="K90" s="31">
        <v>350</v>
      </c>
      <c r="L90" s="146">
        <f t="shared" si="14"/>
        <v>23309.999999999996</v>
      </c>
      <c r="M90" s="147"/>
      <c r="N90" s="147"/>
      <c r="P90" s="140"/>
      <c r="Q90" s="140"/>
      <c r="R90" s="80"/>
    </row>
    <row r="91" spans="1:18" s="85" customFormat="1" ht="27" customHeight="1">
      <c r="A91" s="25">
        <v>4.4</v>
      </c>
      <c r="B91" s="26" t="s">
        <v>126</v>
      </c>
      <c r="C91" s="27" t="s">
        <v>29</v>
      </c>
      <c r="D91" s="31">
        <v>1</v>
      </c>
      <c r="E91" s="31">
        <v>5000</v>
      </c>
      <c r="F91" s="29">
        <f t="shared" si="15"/>
        <v>5000</v>
      </c>
      <c r="G91" s="25">
        <v>4.4</v>
      </c>
      <c r="H91" s="26" t="s">
        <v>126</v>
      </c>
      <c r="I91" s="27" t="s">
        <v>29</v>
      </c>
      <c r="J91" s="31">
        <v>1</v>
      </c>
      <c r="K91" s="31">
        <v>5000</v>
      </c>
      <c r="L91" s="146">
        <f t="shared" si="14"/>
        <v>5000</v>
      </c>
      <c r="M91" s="147"/>
      <c r="N91" s="147"/>
      <c r="P91" s="140"/>
      <c r="Q91" s="140"/>
      <c r="R91" s="80"/>
    </row>
    <row r="92" spans="1:18" s="83" customFormat="1" ht="27" customHeight="1">
      <c r="A92" s="25">
        <v>4.5</v>
      </c>
      <c r="B92" s="26" t="s">
        <v>127</v>
      </c>
      <c r="C92" s="43" t="s">
        <v>29</v>
      </c>
      <c r="D92" s="31">
        <v>1</v>
      </c>
      <c r="E92" s="31">
        <v>6000</v>
      </c>
      <c r="F92" s="29">
        <f t="shared" si="15"/>
        <v>6000</v>
      </c>
      <c r="G92" s="25">
        <v>4.5</v>
      </c>
      <c r="H92" s="26" t="s">
        <v>127</v>
      </c>
      <c r="I92" s="43" t="s">
        <v>29</v>
      </c>
      <c r="J92" s="31">
        <v>1</v>
      </c>
      <c r="K92" s="31">
        <v>5000</v>
      </c>
      <c r="L92" s="146">
        <f t="shared" si="14"/>
        <v>5000</v>
      </c>
      <c r="M92" s="147"/>
      <c r="N92" s="147">
        <f aca="true" t="shared" si="16" ref="N90:N98">F92-L92</f>
        <v>1000</v>
      </c>
      <c r="P92" s="140"/>
      <c r="Q92" s="140"/>
      <c r="R92" s="80"/>
    </row>
    <row r="93" spans="1:18" s="83" customFormat="1" ht="27" customHeight="1">
      <c r="A93" s="25">
        <v>4.6</v>
      </c>
      <c r="B93" s="26" t="s">
        <v>128</v>
      </c>
      <c r="C93" s="30" t="s">
        <v>40</v>
      </c>
      <c r="D93" s="28">
        <f>3.24*3.24</f>
        <v>10.497600000000002</v>
      </c>
      <c r="E93" s="31">
        <v>2500</v>
      </c>
      <c r="F93" s="29">
        <f t="shared" si="15"/>
        <v>26244.000000000004</v>
      </c>
      <c r="G93" s="25">
        <v>4.6</v>
      </c>
      <c r="H93" s="26" t="s">
        <v>128</v>
      </c>
      <c r="I93" s="30" t="s">
        <v>40</v>
      </c>
      <c r="J93" s="28">
        <f>3.24*3.24</f>
        <v>10.497600000000002</v>
      </c>
      <c r="K93" s="31">
        <v>2300</v>
      </c>
      <c r="L93" s="146">
        <f t="shared" si="14"/>
        <v>24144.480000000003</v>
      </c>
      <c r="M93" s="147"/>
      <c r="N93" s="147">
        <f t="shared" si="16"/>
        <v>2099.5200000000004</v>
      </c>
      <c r="P93" s="140"/>
      <c r="Q93" s="140"/>
      <c r="R93" s="80"/>
    </row>
    <row r="94" spans="1:18" s="83" customFormat="1" ht="27" customHeight="1">
      <c r="A94" s="25">
        <v>4.7</v>
      </c>
      <c r="B94" s="26" t="s">
        <v>129</v>
      </c>
      <c r="C94" s="43" t="s">
        <v>29</v>
      </c>
      <c r="D94" s="28">
        <v>1</v>
      </c>
      <c r="E94" s="31">
        <v>1500</v>
      </c>
      <c r="F94" s="29">
        <f t="shared" si="15"/>
        <v>1500</v>
      </c>
      <c r="G94" s="25">
        <v>4.7</v>
      </c>
      <c r="H94" s="26" t="s">
        <v>129</v>
      </c>
      <c r="I94" s="43" t="s">
        <v>29</v>
      </c>
      <c r="J94" s="28">
        <v>1</v>
      </c>
      <c r="K94" s="31">
        <v>1500</v>
      </c>
      <c r="L94" s="146">
        <f t="shared" si="14"/>
        <v>1500</v>
      </c>
      <c r="M94" s="147"/>
      <c r="N94" s="147"/>
      <c r="P94" s="140"/>
      <c r="Q94" s="140"/>
      <c r="R94" s="80"/>
    </row>
    <row r="95" spans="1:18" s="83" customFormat="1" ht="27" customHeight="1">
      <c r="A95" s="25">
        <v>4.8</v>
      </c>
      <c r="B95" s="26" t="s">
        <v>130</v>
      </c>
      <c r="C95" s="43" t="s">
        <v>65</v>
      </c>
      <c r="D95" s="28">
        <v>4</v>
      </c>
      <c r="E95" s="31">
        <v>600</v>
      </c>
      <c r="F95" s="29">
        <f t="shared" si="15"/>
        <v>2400</v>
      </c>
      <c r="G95" s="25">
        <v>4.8</v>
      </c>
      <c r="H95" s="26" t="s">
        <v>130</v>
      </c>
      <c r="I95" s="43" t="s">
        <v>65</v>
      </c>
      <c r="J95" s="28">
        <v>4</v>
      </c>
      <c r="K95" s="31">
        <v>600</v>
      </c>
      <c r="L95" s="146">
        <f t="shared" si="14"/>
        <v>2400</v>
      </c>
      <c r="M95" s="147"/>
      <c r="N95" s="147"/>
      <c r="P95" s="140"/>
      <c r="Q95" s="140"/>
      <c r="R95" s="80"/>
    </row>
    <row r="96" spans="1:18" s="83" customFormat="1" ht="27" customHeight="1">
      <c r="A96" s="25">
        <v>4.9</v>
      </c>
      <c r="B96" s="26" t="s">
        <v>131</v>
      </c>
      <c r="C96" s="27" t="s">
        <v>29</v>
      </c>
      <c r="D96" s="28">
        <v>2</v>
      </c>
      <c r="E96" s="31">
        <v>1000</v>
      </c>
      <c r="F96" s="29">
        <f t="shared" si="15"/>
        <v>2000</v>
      </c>
      <c r="G96" s="25">
        <v>4.9</v>
      </c>
      <c r="H96" s="26" t="s">
        <v>131</v>
      </c>
      <c r="I96" s="27" t="s">
        <v>132</v>
      </c>
      <c r="J96" s="28">
        <v>2</v>
      </c>
      <c r="K96" s="31">
        <v>100</v>
      </c>
      <c r="L96" s="146">
        <f t="shared" si="14"/>
        <v>200</v>
      </c>
      <c r="M96" s="147"/>
      <c r="N96" s="147">
        <f t="shared" si="16"/>
        <v>1800</v>
      </c>
      <c r="P96" s="140"/>
      <c r="Q96" s="140"/>
      <c r="R96" s="80"/>
    </row>
    <row r="97" spans="1:18" s="83" customFormat="1" ht="27" customHeight="1">
      <c r="A97" s="44">
        <v>4.1</v>
      </c>
      <c r="B97" s="26" t="s">
        <v>122</v>
      </c>
      <c r="C97" s="43" t="s">
        <v>133</v>
      </c>
      <c r="D97" s="31">
        <v>14</v>
      </c>
      <c r="E97" s="31">
        <v>400</v>
      </c>
      <c r="F97" s="29">
        <f t="shared" si="15"/>
        <v>5600</v>
      </c>
      <c r="G97" s="44">
        <v>4.1</v>
      </c>
      <c r="H97" s="26" t="s">
        <v>122</v>
      </c>
      <c r="I97" s="43" t="s">
        <v>133</v>
      </c>
      <c r="J97" s="31">
        <v>0</v>
      </c>
      <c r="K97" s="31">
        <v>400</v>
      </c>
      <c r="L97" s="146">
        <f t="shared" si="14"/>
        <v>0</v>
      </c>
      <c r="M97" s="147"/>
      <c r="N97" s="147">
        <f t="shared" si="16"/>
        <v>5600</v>
      </c>
      <c r="P97" s="140"/>
      <c r="Q97" s="140"/>
      <c r="R97" s="80"/>
    </row>
    <row r="98" spans="1:18" s="83" customFormat="1" ht="27" customHeight="1">
      <c r="A98" s="44">
        <v>4.11</v>
      </c>
      <c r="B98" s="26" t="s">
        <v>134</v>
      </c>
      <c r="C98" s="30" t="s">
        <v>31</v>
      </c>
      <c r="D98" s="31">
        <v>9</v>
      </c>
      <c r="E98" s="31">
        <f>E18</f>
        <v>751.97</v>
      </c>
      <c r="F98" s="29">
        <f t="shared" si="15"/>
        <v>6767.7300000000005</v>
      </c>
      <c r="G98" s="44">
        <v>4.11</v>
      </c>
      <c r="H98" s="26" t="s">
        <v>134</v>
      </c>
      <c r="I98" s="30" t="s">
        <v>31</v>
      </c>
      <c r="J98" s="31">
        <v>9</v>
      </c>
      <c r="K98" s="31">
        <v>701.1</v>
      </c>
      <c r="L98" s="146">
        <f t="shared" si="14"/>
        <v>6309.900000000001</v>
      </c>
      <c r="M98" s="147"/>
      <c r="N98" s="147">
        <f t="shared" si="16"/>
        <v>457.8299999999999</v>
      </c>
      <c r="P98" s="140"/>
      <c r="Q98" s="140"/>
      <c r="R98" s="80"/>
    </row>
    <row r="99" spans="1:18" s="84" customFormat="1" ht="33.75" customHeight="1">
      <c r="A99" s="44">
        <v>4.12</v>
      </c>
      <c r="B99" s="26" t="s">
        <v>32</v>
      </c>
      <c r="C99" s="30" t="s">
        <v>31</v>
      </c>
      <c r="D99" s="31">
        <v>6</v>
      </c>
      <c r="E99" s="31">
        <f>E9</f>
        <v>192.44</v>
      </c>
      <c r="F99" s="29">
        <f t="shared" si="15"/>
        <v>1154.6399999999999</v>
      </c>
      <c r="G99" s="44">
        <v>4.12</v>
      </c>
      <c r="H99" s="26" t="s">
        <v>32</v>
      </c>
      <c r="I99" s="30" t="s">
        <v>31</v>
      </c>
      <c r="J99" s="31">
        <v>6</v>
      </c>
      <c r="K99" s="31">
        <v>192.58</v>
      </c>
      <c r="L99" s="146">
        <f t="shared" si="14"/>
        <v>1155.48</v>
      </c>
      <c r="M99" s="147">
        <f>L99-F99</f>
        <v>0.8400000000001455</v>
      </c>
      <c r="N99" s="147"/>
      <c r="P99" s="140"/>
      <c r="Q99" s="140"/>
      <c r="R99" s="80"/>
    </row>
    <row r="100" spans="1:18" s="83" customFormat="1" ht="27" customHeight="1">
      <c r="A100" s="54" t="s">
        <v>135</v>
      </c>
      <c r="B100" s="55" t="s">
        <v>10</v>
      </c>
      <c r="C100" s="56" t="s">
        <v>18</v>
      </c>
      <c r="D100" s="55"/>
      <c r="E100" s="55"/>
      <c r="F100" s="57">
        <f>F101</f>
        <v>40327.4173794</v>
      </c>
      <c r="G100" s="155" t="s">
        <v>135</v>
      </c>
      <c r="H100" s="156" t="s">
        <v>10</v>
      </c>
      <c r="I100" s="163" t="s">
        <v>18</v>
      </c>
      <c r="J100" s="176"/>
      <c r="K100" s="177"/>
      <c r="L100" s="57">
        <f>L101+L102+L103</f>
        <v>53955.03865539105</v>
      </c>
      <c r="M100" s="178">
        <f>SUM(M101:M101)</f>
        <v>0</v>
      </c>
      <c r="N100" s="178">
        <f>SUM(N101:N103)</f>
        <v>8525.573337759353</v>
      </c>
      <c r="P100" s="140"/>
      <c r="Q100" s="140"/>
      <c r="R100" s="80"/>
    </row>
    <row r="101" spans="1:18" s="84" customFormat="1" ht="24">
      <c r="A101" s="59">
        <v>1</v>
      </c>
      <c r="B101" s="60" t="s">
        <v>136</v>
      </c>
      <c r="C101" s="56" t="s">
        <v>18</v>
      </c>
      <c r="D101" s="28">
        <f>F5</f>
        <v>1344247.2459800001</v>
      </c>
      <c r="E101" s="157">
        <v>0.03</v>
      </c>
      <c r="F101" s="29">
        <f>D101*E101</f>
        <v>40327.4173794</v>
      </c>
      <c r="G101" s="158">
        <v>1</v>
      </c>
      <c r="H101" s="159" t="s">
        <v>11</v>
      </c>
      <c r="I101" s="163" t="s">
        <v>18</v>
      </c>
      <c r="J101" s="179">
        <f>L5</f>
        <v>1155141.42268</v>
      </c>
      <c r="K101" s="180">
        <v>0.015</v>
      </c>
      <c r="L101" s="146">
        <f>K101*J101</f>
        <v>17327.1213402</v>
      </c>
      <c r="M101" s="179"/>
      <c r="N101" s="179">
        <f>F101/2-L101</f>
        <v>2836.5873495000014</v>
      </c>
      <c r="P101" s="140"/>
      <c r="Q101" s="140"/>
      <c r="R101" s="80"/>
    </row>
    <row r="102" spans="1:18" s="84" customFormat="1" ht="27" customHeight="1">
      <c r="A102" s="54" t="s">
        <v>14</v>
      </c>
      <c r="B102" s="55" t="s">
        <v>137</v>
      </c>
      <c r="C102" s="56" t="s">
        <v>18</v>
      </c>
      <c r="D102" s="55"/>
      <c r="E102" s="55"/>
      <c r="F102" s="17">
        <f>F103</f>
        <v>22153.194613750402</v>
      </c>
      <c r="G102" s="160">
        <v>2</v>
      </c>
      <c r="H102" s="161" t="s">
        <v>12</v>
      </c>
      <c r="I102" s="163" t="s">
        <v>18</v>
      </c>
      <c r="J102" s="179">
        <f>L5+L101</f>
        <v>1172468.5440202001</v>
      </c>
      <c r="K102" s="180">
        <v>0.016</v>
      </c>
      <c r="L102" s="146">
        <f>K102*J102</f>
        <v>18759.496704323203</v>
      </c>
      <c r="M102" s="179"/>
      <c r="N102" s="179">
        <f>F103-L102</f>
        <v>3393.697909427199</v>
      </c>
      <c r="P102" s="140"/>
      <c r="Q102" s="140"/>
      <c r="R102" s="80"/>
    </row>
    <row r="103" spans="1:18" s="84" customFormat="1" ht="27" customHeight="1">
      <c r="A103" s="59">
        <v>1</v>
      </c>
      <c r="B103" s="60" t="s">
        <v>138</v>
      </c>
      <c r="C103" s="56" t="s">
        <v>18</v>
      </c>
      <c r="D103" s="28">
        <f>D101+F101</f>
        <v>1384574.6633594001</v>
      </c>
      <c r="E103" s="157">
        <v>0.016</v>
      </c>
      <c r="F103" s="29">
        <f>D103*E103</f>
        <v>22153.194613750402</v>
      </c>
      <c r="G103" s="158">
        <v>3</v>
      </c>
      <c r="H103" s="161" t="s">
        <v>13</v>
      </c>
      <c r="I103" s="163" t="s">
        <v>18</v>
      </c>
      <c r="J103" s="179">
        <f>L5+L101+L102</f>
        <v>1191228.0407245234</v>
      </c>
      <c r="K103" s="180">
        <v>0.015</v>
      </c>
      <c r="L103" s="146">
        <f>K103*J103</f>
        <v>17868.420610867848</v>
      </c>
      <c r="M103" s="179"/>
      <c r="N103" s="179">
        <f>F101/2-L103</f>
        <v>2295.2880788321527</v>
      </c>
      <c r="P103" s="140"/>
      <c r="Q103" s="140"/>
      <c r="R103" s="80"/>
    </row>
    <row r="104" spans="1:18" s="84" customFormat="1" ht="27" customHeight="1">
      <c r="A104" s="59" t="s">
        <v>15</v>
      </c>
      <c r="B104" s="55" t="s">
        <v>139</v>
      </c>
      <c r="C104" s="56" t="s">
        <v>18</v>
      </c>
      <c r="D104" s="28"/>
      <c r="E104" s="157"/>
      <c r="F104" s="17">
        <f>F105</f>
        <v>6576.729650957151</v>
      </c>
      <c r="G104" s="59" t="s">
        <v>14</v>
      </c>
      <c r="H104" s="156" t="s">
        <v>139</v>
      </c>
      <c r="I104" s="163" t="s">
        <v>18</v>
      </c>
      <c r="J104" s="179"/>
      <c r="K104" s="177"/>
      <c r="L104" s="17">
        <f>L105</f>
        <v>5743.2081913431075</v>
      </c>
      <c r="M104" s="178">
        <f>M105</f>
        <v>0</v>
      </c>
      <c r="N104" s="178">
        <f>N105</f>
        <v>833.5214596140431</v>
      </c>
      <c r="P104" s="140"/>
      <c r="Q104" s="140"/>
      <c r="R104" s="80"/>
    </row>
    <row r="105" spans="1:18" s="92" customFormat="1" ht="27" customHeight="1">
      <c r="A105" s="59">
        <v>1</v>
      </c>
      <c r="B105" s="60" t="s">
        <v>140</v>
      </c>
      <c r="C105" s="56" t="s">
        <v>18</v>
      </c>
      <c r="D105" s="28">
        <f>D103</f>
        <v>1384574.6633594001</v>
      </c>
      <c r="E105" s="162">
        <v>0.00475</v>
      </c>
      <c r="F105" s="29">
        <f>D105*E105</f>
        <v>6576.729650957151</v>
      </c>
      <c r="G105" s="163">
        <v>1</v>
      </c>
      <c r="H105" s="159" t="s">
        <v>141</v>
      </c>
      <c r="I105" s="163" t="s">
        <v>18</v>
      </c>
      <c r="J105" s="181">
        <f>L5+L100</f>
        <v>1209096.461335391</v>
      </c>
      <c r="K105" s="182">
        <v>0.00475</v>
      </c>
      <c r="L105" s="146">
        <f>K105*J105</f>
        <v>5743.2081913431075</v>
      </c>
      <c r="M105" s="179"/>
      <c r="N105" s="179">
        <f>F105-L105</f>
        <v>833.5214596140431</v>
      </c>
      <c r="P105" s="140"/>
      <c r="Q105" s="140"/>
      <c r="R105" s="80"/>
    </row>
    <row r="106" spans="1:18" s="92" customFormat="1" ht="27" customHeight="1">
      <c r="A106" s="61" t="s">
        <v>142</v>
      </c>
      <c r="B106" s="62" t="s">
        <v>143</v>
      </c>
      <c r="C106" s="63" t="s">
        <v>18</v>
      </c>
      <c r="D106" s="64"/>
      <c r="E106" s="164"/>
      <c r="F106" s="65">
        <f>F5+F100+F102+F104</f>
        <v>1413304.5876241075</v>
      </c>
      <c r="G106" s="61" t="s">
        <v>15</v>
      </c>
      <c r="H106" s="165" t="s">
        <v>143</v>
      </c>
      <c r="I106" s="183"/>
      <c r="J106" s="184"/>
      <c r="K106" s="185"/>
      <c r="L106" s="65">
        <f>L5+L100+L104</f>
        <v>1214839.6695267342</v>
      </c>
      <c r="M106" s="186">
        <f>M104+M100+M87+M58+M34+M6</f>
        <v>60726.369000000006</v>
      </c>
      <c r="N106" s="186">
        <f>N104+N100+N87+N58+N34+N6</f>
        <v>259191.28315737337</v>
      </c>
      <c r="P106" s="140"/>
      <c r="Q106" s="140"/>
      <c r="R106" s="80"/>
    </row>
    <row r="107" spans="1:18" s="92" customFormat="1" ht="30.75" customHeight="1">
      <c r="A107" s="166"/>
      <c r="B107" s="167"/>
      <c r="C107" s="166"/>
      <c r="D107" s="166"/>
      <c r="E107" s="168"/>
      <c r="F107" s="169"/>
      <c r="G107" s="168"/>
      <c r="H107" s="168"/>
      <c r="I107" s="168"/>
      <c r="J107" s="168"/>
      <c r="K107" s="168"/>
      <c r="L107" s="187"/>
      <c r="M107" s="168"/>
      <c r="N107" s="187"/>
      <c r="P107" s="140"/>
      <c r="Q107" s="140"/>
      <c r="R107" s="80"/>
    </row>
    <row r="108" spans="1:18" s="92" customFormat="1" ht="21.75" customHeight="1">
      <c r="A108" s="166"/>
      <c r="B108" s="167"/>
      <c r="C108" s="166"/>
      <c r="D108" s="166"/>
      <c r="E108" s="168"/>
      <c r="F108" s="169"/>
      <c r="G108" s="168"/>
      <c r="H108" s="168"/>
      <c r="I108" s="168"/>
      <c r="J108" s="168"/>
      <c r="K108" s="168"/>
      <c r="L108" s="187"/>
      <c r="M108" s="168"/>
      <c r="N108" s="187"/>
      <c r="O108" s="188"/>
      <c r="P108" s="140"/>
      <c r="Q108" s="140"/>
      <c r="R108" s="80"/>
    </row>
    <row r="109" spans="1:17" s="92" customFormat="1" ht="21.75" customHeight="1">
      <c r="A109" s="166"/>
      <c r="B109" s="167"/>
      <c r="C109" s="166"/>
      <c r="D109" s="166"/>
      <c r="E109" s="168"/>
      <c r="F109" s="169"/>
      <c r="G109" s="168"/>
      <c r="H109" s="168"/>
      <c r="I109" s="168"/>
      <c r="J109" s="168"/>
      <c r="K109" s="168"/>
      <c r="L109" s="187"/>
      <c r="M109" s="168"/>
      <c r="N109" s="187"/>
      <c r="O109" s="188"/>
      <c r="P109" s="189"/>
      <c r="Q109" s="189"/>
    </row>
    <row r="110" spans="1:17" s="92" customFormat="1" ht="21.75" customHeight="1">
      <c r="A110" s="166"/>
      <c r="B110" s="167"/>
      <c r="C110" s="166"/>
      <c r="D110" s="166"/>
      <c r="E110" s="168"/>
      <c r="F110" s="169"/>
      <c r="G110" s="168"/>
      <c r="H110" s="168"/>
      <c r="I110" s="168"/>
      <c r="J110" s="168"/>
      <c r="K110" s="168"/>
      <c r="L110" s="187"/>
      <c r="M110" s="168"/>
      <c r="N110" s="187"/>
      <c r="O110" s="188"/>
      <c r="P110" s="189"/>
      <c r="Q110" s="189"/>
    </row>
    <row r="111" spans="1:17" s="93" customFormat="1" ht="21.75" customHeight="1">
      <c r="A111" s="170"/>
      <c r="B111" s="171"/>
      <c r="C111" s="170"/>
      <c r="D111" s="170"/>
      <c r="E111" s="172"/>
      <c r="F111" s="173"/>
      <c r="G111" s="168"/>
      <c r="H111" s="168"/>
      <c r="I111" s="168"/>
      <c r="J111" s="168"/>
      <c r="K111" s="168"/>
      <c r="L111" s="187"/>
      <c r="M111" s="168"/>
      <c r="N111" s="187"/>
      <c r="O111" s="190"/>
      <c r="P111" s="191"/>
      <c r="Q111" s="191"/>
    </row>
    <row r="112" spans="1:17" s="94" customFormat="1" ht="21.75" customHeight="1">
      <c r="A112" s="166"/>
      <c r="B112" s="167"/>
      <c r="C112" s="166"/>
      <c r="D112" s="166"/>
      <c r="E112" s="168"/>
      <c r="F112" s="169"/>
      <c r="G112" s="168"/>
      <c r="H112" s="168"/>
      <c r="I112" s="168"/>
      <c r="J112" s="168"/>
      <c r="K112" s="168"/>
      <c r="L112" s="187"/>
      <c r="M112" s="168"/>
      <c r="N112" s="187"/>
      <c r="O112" s="188"/>
      <c r="P112" s="192"/>
      <c r="Q112" s="192"/>
    </row>
    <row r="113" spans="1:17" s="94" customFormat="1" ht="21.75" customHeight="1">
      <c r="A113" s="166"/>
      <c r="B113" s="167"/>
      <c r="C113" s="166"/>
      <c r="D113" s="166"/>
      <c r="E113" s="168"/>
      <c r="F113" s="169"/>
      <c r="G113" s="172"/>
      <c r="H113" s="172"/>
      <c r="I113" s="172"/>
      <c r="J113" s="172"/>
      <c r="K113" s="172"/>
      <c r="L113" s="187"/>
      <c r="M113" s="168"/>
      <c r="N113" s="187"/>
      <c r="O113" s="188"/>
      <c r="P113" s="192"/>
      <c r="Q113" s="192"/>
    </row>
    <row r="114" spans="1:17" s="94" customFormat="1" ht="21.75" customHeight="1">
      <c r="A114" s="166"/>
      <c r="B114" s="167"/>
      <c r="C114" s="166"/>
      <c r="D114" s="166"/>
      <c r="E114" s="168"/>
      <c r="F114" s="169"/>
      <c r="G114" s="168"/>
      <c r="H114" s="168"/>
      <c r="I114" s="168"/>
      <c r="J114" s="168"/>
      <c r="K114" s="168"/>
      <c r="L114" s="187"/>
      <c r="M114" s="168"/>
      <c r="N114" s="187"/>
      <c r="O114" s="188"/>
      <c r="P114" s="192"/>
      <c r="Q114" s="192"/>
    </row>
    <row r="115" spans="1:17" s="94" customFormat="1" ht="21.75" customHeight="1">
      <c r="A115" s="166"/>
      <c r="B115" s="167"/>
      <c r="C115" s="166"/>
      <c r="D115" s="166"/>
      <c r="E115" s="168"/>
      <c r="F115" s="169"/>
      <c r="G115" s="168"/>
      <c r="H115" s="168"/>
      <c r="I115" s="168"/>
      <c r="J115" s="168"/>
      <c r="K115" s="168"/>
      <c r="L115" s="187"/>
      <c r="M115" s="168"/>
      <c r="N115" s="187"/>
      <c r="O115" s="188"/>
      <c r="P115" s="192"/>
      <c r="Q115" s="192"/>
    </row>
    <row r="116" spans="1:17" s="92" customFormat="1" ht="21.75" customHeight="1">
      <c r="A116" s="166"/>
      <c r="B116" s="167"/>
      <c r="C116" s="166"/>
      <c r="D116" s="166"/>
      <c r="E116" s="168"/>
      <c r="F116" s="169"/>
      <c r="G116" s="168"/>
      <c r="H116" s="168"/>
      <c r="I116" s="168"/>
      <c r="J116" s="168"/>
      <c r="K116" s="168"/>
      <c r="L116" s="187"/>
      <c r="M116" s="168"/>
      <c r="N116" s="187"/>
      <c r="O116" s="188"/>
      <c r="P116" s="189"/>
      <c r="Q116" s="189"/>
    </row>
    <row r="117" spans="1:17" s="92" customFormat="1" ht="21.75" customHeight="1">
      <c r="A117" s="166"/>
      <c r="B117" s="167"/>
      <c r="C117" s="166"/>
      <c r="D117" s="166"/>
      <c r="E117" s="168"/>
      <c r="F117" s="169"/>
      <c r="G117" s="168"/>
      <c r="H117" s="168"/>
      <c r="I117" s="168"/>
      <c r="J117" s="168"/>
      <c r="K117" s="168"/>
      <c r="L117" s="187"/>
      <c r="M117" s="168"/>
      <c r="N117" s="187"/>
      <c r="O117" s="188"/>
      <c r="P117" s="189"/>
      <c r="Q117" s="189"/>
    </row>
    <row r="118" spans="1:17" s="94" customFormat="1" ht="21.75" customHeight="1">
      <c r="A118" s="166"/>
      <c r="B118" s="167"/>
      <c r="C118" s="166"/>
      <c r="D118" s="166"/>
      <c r="E118" s="168"/>
      <c r="F118" s="169"/>
      <c r="G118" s="168"/>
      <c r="H118" s="168"/>
      <c r="I118" s="168"/>
      <c r="J118" s="168"/>
      <c r="K118" s="168"/>
      <c r="L118" s="187"/>
      <c r="M118" s="168"/>
      <c r="N118" s="187"/>
      <c r="O118" s="188"/>
      <c r="P118" s="192"/>
      <c r="Q118" s="192"/>
    </row>
    <row r="119" spans="1:17" s="94" customFormat="1" ht="21.75" customHeight="1">
      <c r="A119" s="166"/>
      <c r="B119" s="167"/>
      <c r="C119" s="166"/>
      <c r="D119" s="166"/>
      <c r="E119" s="168"/>
      <c r="F119" s="169"/>
      <c r="G119" s="168"/>
      <c r="H119" s="168"/>
      <c r="I119" s="168"/>
      <c r="J119" s="168"/>
      <c r="K119" s="168"/>
      <c r="L119" s="187"/>
      <c r="M119" s="168"/>
      <c r="N119" s="187"/>
      <c r="O119" s="188"/>
      <c r="P119" s="192"/>
      <c r="Q119" s="192"/>
    </row>
    <row r="120" spans="1:17" s="94" customFormat="1" ht="21.75" customHeight="1">
      <c r="A120" s="166"/>
      <c r="B120" s="167"/>
      <c r="C120" s="166"/>
      <c r="D120" s="166"/>
      <c r="E120" s="168"/>
      <c r="F120" s="169"/>
      <c r="G120" s="168"/>
      <c r="H120" s="168"/>
      <c r="I120" s="168"/>
      <c r="J120" s="168"/>
      <c r="K120" s="168"/>
      <c r="L120" s="187"/>
      <c r="M120" s="168"/>
      <c r="N120" s="187"/>
      <c r="O120" s="188"/>
      <c r="P120" s="192"/>
      <c r="Q120" s="192"/>
    </row>
    <row r="121" spans="1:17" s="93" customFormat="1" ht="24.75" customHeight="1">
      <c r="A121" s="170"/>
      <c r="B121" s="171"/>
      <c r="C121" s="170"/>
      <c r="D121" s="170"/>
      <c r="E121" s="172"/>
      <c r="F121" s="173"/>
      <c r="G121" s="168"/>
      <c r="H121" s="168"/>
      <c r="I121" s="168"/>
      <c r="J121" s="168"/>
      <c r="K121" s="168"/>
      <c r="L121" s="187"/>
      <c r="M121" s="168"/>
      <c r="N121" s="187"/>
      <c r="O121" s="190"/>
      <c r="P121" s="191"/>
      <c r="Q121" s="191"/>
    </row>
    <row r="122" spans="1:17" s="94" customFormat="1" ht="21.75" customHeight="1">
      <c r="A122" s="166"/>
      <c r="B122" s="167"/>
      <c r="C122" s="166"/>
      <c r="D122" s="166"/>
      <c r="E122" s="168"/>
      <c r="F122" s="169"/>
      <c r="G122" s="168"/>
      <c r="H122" s="168"/>
      <c r="I122" s="168"/>
      <c r="J122" s="168"/>
      <c r="K122" s="168"/>
      <c r="L122" s="187"/>
      <c r="M122" s="168"/>
      <c r="N122" s="187"/>
      <c r="O122" s="188"/>
      <c r="P122" s="192"/>
      <c r="Q122" s="192"/>
    </row>
    <row r="123" spans="1:17" s="94" customFormat="1" ht="21.75" customHeight="1">
      <c r="A123" s="166"/>
      <c r="B123" s="167"/>
      <c r="C123" s="166"/>
      <c r="D123" s="166"/>
      <c r="E123" s="168"/>
      <c r="F123" s="169"/>
      <c r="G123" s="172"/>
      <c r="H123" s="172"/>
      <c r="I123" s="172"/>
      <c r="J123" s="172"/>
      <c r="K123" s="172"/>
      <c r="L123" s="187"/>
      <c r="M123" s="172"/>
      <c r="N123" s="187"/>
      <c r="O123" s="188"/>
      <c r="P123" s="192"/>
      <c r="Q123" s="192"/>
    </row>
    <row r="124" spans="1:17" s="94" customFormat="1" ht="31.5" customHeight="1">
      <c r="A124" s="166"/>
      <c r="B124" s="167"/>
      <c r="C124" s="166"/>
      <c r="D124" s="166"/>
      <c r="E124" s="168"/>
      <c r="F124" s="169"/>
      <c r="G124" s="168"/>
      <c r="H124" s="168"/>
      <c r="I124" s="168"/>
      <c r="J124" s="168"/>
      <c r="K124" s="168"/>
      <c r="L124" s="187"/>
      <c r="M124" s="168"/>
      <c r="N124" s="187"/>
      <c r="O124" s="188"/>
      <c r="P124" s="192"/>
      <c r="Q124" s="192"/>
    </row>
    <row r="125" spans="1:17" s="94" customFormat="1" ht="21.75" customHeight="1">
      <c r="A125" s="166"/>
      <c r="B125" s="167"/>
      <c r="C125" s="166"/>
      <c r="D125" s="166"/>
      <c r="E125" s="168"/>
      <c r="F125" s="169"/>
      <c r="G125" s="168"/>
      <c r="H125" s="168"/>
      <c r="I125" s="168"/>
      <c r="J125" s="168"/>
      <c r="K125" s="168"/>
      <c r="L125" s="187"/>
      <c r="M125" s="168"/>
      <c r="N125" s="187"/>
      <c r="O125" s="188"/>
      <c r="P125" s="192"/>
      <c r="Q125" s="192"/>
    </row>
    <row r="126" spans="1:17" s="94" customFormat="1" ht="21.75" customHeight="1">
      <c r="A126" s="166"/>
      <c r="B126" s="167"/>
      <c r="C126" s="166"/>
      <c r="D126" s="166"/>
      <c r="E126" s="168"/>
      <c r="F126" s="169"/>
      <c r="G126" s="168"/>
      <c r="H126" s="168"/>
      <c r="I126" s="168"/>
      <c r="J126" s="168"/>
      <c r="K126" s="168"/>
      <c r="L126" s="187"/>
      <c r="M126" s="168"/>
      <c r="N126" s="187"/>
      <c r="O126" s="188"/>
      <c r="P126" s="192"/>
      <c r="Q126" s="192"/>
    </row>
    <row r="127" spans="1:17" s="94" customFormat="1" ht="21.75" customHeight="1">
      <c r="A127" s="166"/>
      <c r="B127" s="167"/>
      <c r="C127" s="166"/>
      <c r="D127" s="166"/>
      <c r="E127" s="168"/>
      <c r="F127" s="169"/>
      <c r="G127" s="168"/>
      <c r="H127" s="168"/>
      <c r="I127" s="168"/>
      <c r="J127" s="168"/>
      <c r="K127" s="168"/>
      <c r="L127" s="187"/>
      <c r="M127" s="168"/>
      <c r="N127" s="187"/>
      <c r="O127" s="188"/>
      <c r="P127" s="192"/>
      <c r="Q127" s="192"/>
    </row>
    <row r="128" spans="1:17" s="94" customFormat="1" ht="21.75" customHeight="1">
      <c r="A128" s="166"/>
      <c r="B128" s="167"/>
      <c r="C128" s="166"/>
      <c r="D128" s="166"/>
      <c r="E128" s="168"/>
      <c r="F128" s="169"/>
      <c r="G128" s="168"/>
      <c r="H128" s="168"/>
      <c r="I128" s="168"/>
      <c r="J128" s="168"/>
      <c r="K128" s="168"/>
      <c r="L128" s="187"/>
      <c r="M128" s="168"/>
      <c r="N128" s="187"/>
      <c r="O128" s="188"/>
      <c r="P128" s="192"/>
      <c r="Q128" s="192"/>
    </row>
    <row r="129" spans="1:17" s="94" customFormat="1" ht="21.75" customHeight="1">
      <c r="A129" s="166"/>
      <c r="B129" s="167"/>
      <c r="C129" s="166"/>
      <c r="D129" s="166"/>
      <c r="E129" s="168"/>
      <c r="F129" s="169"/>
      <c r="G129" s="168"/>
      <c r="H129" s="168"/>
      <c r="I129" s="168"/>
      <c r="J129" s="168"/>
      <c r="K129" s="168"/>
      <c r="L129" s="187"/>
      <c r="M129" s="168"/>
      <c r="N129" s="187"/>
      <c r="O129" s="188"/>
      <c r="P129" s="192"/>
      <c r="Q129" s="192"/>
    </row>
    <row r="130" spans="1:17" s="94" customFormat="1" ht="21.75" customHeight="1">
      <c r="A130" s="166"/>
      <c r="B130" s="167"/>
      <c r="C130" s="166"/>
      <c r="D130" s="166"/>
      <c r="E130" s="168"/>
      <c r="F130" s="169"/>
      <c r="G130" s="168"/>
      <c r="H130" s="168"/>
      <c r="I130" s="168"/>
      <c r="J130" s="168"/>
      <c r="K130" s="168"/>
      <c r="L130" s="187"/>
      <c r="M130" s="168"/>
      <c r="N130" s="187"/>
      <c r="O130" s="188"/>
      <c r="P130" s="192"/>
      <c r="Q130" s="192"/>
    </row>
    <row r="131" spans="1:17" s="79" customFormat="1" ht="27" customHeight="1">
      <c r="A131" s="193"/>
      <c r="B131" s="194"/>
      <c r="C131" s="195"/>
      <c r="D131" s="193"/>
      <c r="E131" s="193"/>
      <c r="F131" s="196"/>
      <c r="G131" s="168"/>
      <c r="H131" s="168"/>
      <c r="I131" s="168"/>
      <c r="J131" s="168"/>
      <c r="K131" s="168"/>
      <c r="L131" s="187"/>
      <c r="M131" s="168"/>
      <c r="N131" s="187"/>
      <c r="O131" s="190"/>
      <c r="P131" s="100"/>
      <c r="Q131" s="100"/>
    </row>
    <row r="132" spans="1:17" s="79" customFormat="1" ht="33" customHeight="1">
      <c r="A132" s="197"/>
      <c r="B132" s="198"/>
      <c r="C132" s="195"/>
      <c r="D132" s="199"/>
      <c r="E132" s="200"/>
      <c r="F132" s="201"/>
      <c r="G132" s="168"/>
      <c r="H132" s="168"/>
      <c r="I132" s="168"/>
      <c r="J132" s="168"/>
      <c r="K132" s="168"/>
      <c r="L132" s="187"/>
      <c r="M132" s="168"/>
      <c r="N132" s="187"/>
      <c r="P132" s="100"/>
      <c r="Q132" s="100"/>
    </row>
    <row r="133" spans="1:17" s="79" customFormat="1" ht="24.75" customHeight="1">
      <c r="A133" s="197"/>
      <c r="B133" s="202"/>
      <c r="C133" s="195"/>
      <c r="D133" s="199"/>
      <c r="E133" s="200"/>
      <c r="F133" s="201"/>
      <c r="G133" s="203"/>
      <c r="H133" s="203"/>
      <c r="I133" s="203"/>
      <c r="J133" s="203"/>
      <c r="K133" s="203"/>
      <c r="L133" s="214"/>
      <c r="M133" s="215"/>
      <c r="N133" s="214"/>
      <c r="P133" s="100"/>
      <c r="Q133" s="100"/>
    </row>
    <row r="134" spans="1:17" s="79" customFormat="1" ht="24.75" customHeight="1">
      <c r="A134" s="197"/>
      <c r="B134" s="202"/>
      <c r="C134" s="195"/>
      <c r="D134" s="197"/>
      <c r="E134" s="204"/>
      <c r="F134" s="201"/>
      <c r="G134" s="201"/>
      <c r="H134" s="201"/>
      <c r="I134" s="201"/>
      <c r="J134" s="201"/>
      <c r="K134" s="201"/>
      <c r="L134" s="216"/>
      <c r="M134" s="217"/>
      <c r="N134" s="215"/>
      <c r="P134" s="100"/>
      <c r="Q134" s="100"/>
    </row>
    <row r="135" spans="1:17" s="79" customFormat="1" ht="24.75" customHeight="1">
      <c r="A135" s="193"/>
      <c r="B135" s="194"/>
      <c r="C135" s="195"/>
      <c r="D135" s="205"/>
      <c r="E135" s="206"/>
      <c r="F135" s="207"/>
      <c r="G135" s="201"/>
      <c r="H135" s="201"/>
      <c r="I135" s="201"/>
      <c r="J135" s="201"/>
      <c r="K135" s="201"/>
      <c r="L135" s="216"/>
      <c r="M135" s="217"/>
      <c r="N135" s="215"/>
      <c r="P135" s="100"/>
      <c r="Q135" s="100"/>
    </row>
    <row r="136" spans="1:17" s="79" customFormat="1" ht="24.75" customHeight="1">
      <c r="A136" s="195"/>
      <c r="B136" s="208"/>
      <c r="C136" s="195"/>
      <c r="D136" s="199"/>
      <c r="E136" s="209"/>
      <c r="F136" s="201"/>
      <c r="G136" s="201"/>
      <c r="H136" s="201"/>
      <c r="I136" s="201"/>
      <c r="J136" s="201"/>
      <c r="K136" s="201"/>
      <c r="L136" s="216"/>
      <c r="M136" s="217"/>
      <c r="N136" s="215"/>
      <c r="P136" s="100"/>
      <c r="Q136" s="100"/>
    </row>
    <row r="137" spans="1:17" s="79" customFormat="1" ht="24.75" customHeight="1">
      <c r="A137" s="210"/>
      <c r="B137" s="211"/>
      <c r="C137" s="210"/>
      <c r="D137" s="212"/>
      <c r="E137" s="210"/>
      <c r="F137" s="213"/>
      <c r="G137" s="207"/>
      <c r="H137" s="207"/>
      <c r="I137" s="207"/>
      <c r="J137" s="207"/>
      <c r="K137" s="207"/>
      <c r="L137" s="216"/>
      <c r="M137" s="215"/>
      <c r="N137" s="214"/>
      <c r="P137" s="100"/>
      <c r="Q137" s="100"/>
    </row>
    <row r="138" spans="4:17" s="79" customFormat="1" ht="14.25">
      <c r="D138" s="95"/>
      <c r="E138" s="96"/>
      <c r="F138" s="97"/>
      <c r="G138" s="201"/>
      <c r="H138" s="201"/>
      <c r="I138" s="201"/>
      <c r="J138" s="201"/>
      <c r="K138" s="201"/>
      <c r="L138" s="201"/>
      <c r="M138" s="218"/>
      <c r="N138" s="215"/>
      <c r="P138" s="100"/>
      <c r="Q138" s="100"/>
    </row>
    <row r="139" spans="4:17" s="79" customFormat="1" ht="14.25">
      <c r="D139" s="95"/>
      <c r="E139" s="96"/>
      <c r="F139" s="97"/>
      <c r="G139" s="213"/>
      <c r="H139" s="213"/>
      <c r="I139" s="213"/>
      <c r="J139" s="213"/>
      <c r="K139" s="213"/>
      <c r="L139" s="219"/>
      <c r="M139" s="220"/>
      <c r="N139" s="220"/>
      <c r="P139" s="100"/>
      <c r="Q139" s="100"/>
    </row>
    <row r="140" spans="4:17" s="79" customFormat="1" ht="14.25">
      <c r="D140" s="95"/>
      <c r="E140" s="96"/>
      <c r="F140" s="97"/>
      <c r="G140" s="98"/>
      <c r="H140" s="96"/>
      <c r="I140" s="98"/>
      <c r="J140" s="98"/>
      <c r="K140" s="98"/>
      <c r="L140" s="99"/>
      <c r="M140" s="96"/>
      <c r="N140" s="99"/>
      <c r="P140" s="100"/>
      <c r="Q140" s="100"/>
    </row>
    <row r="141" spans="4:17" s="79" customFormat="1" ht="14.25">
      <c r="D141" s="95"/>
      <c r="E141" s="96"/>
      <c r="F141" s="97"/>
      <c r="G141" s="98"/>
      <c r="H141" s="96"/>
      <c r="I141" s="98"/>
      <c r="J141" s="98"/>
      <c r="K141" s="98"/>
      <c r="L141" s="99"/>
      <c r="M141" s="96"/>
      <c r="N141" s="99"/>
      <c r="P141" s="100"/>
      <c r="Q141" s="100"/>
    </row>
    <row r="142" spans="4:17" s="79" customFormat="1" ht="14.25">
      <c r="D142" s="95"/>
      <c r="E142" s="96"/>
      <c r="F142" s="97"/>
      <c r="G142" s="98"/>
      <c r="H142" s="96"/>
      <c r="I142" s="98"/>
      <c r="J142" s="98"/>
      <c r="K142" s="98"/>
      <c r="L142" s="99"/>
      <c r="M142" s="96"/>
      <c r="N142" s="99"/>
      <c r="P142" s="100"/>
      <c r="Q142" s="100"/>
    </row>
  </sheetData>
  <sheetProtection/>
  <mergeCells count="4">
    <mergeCell ref="A1:N1"/>
    <mergeCell ref="A3:F3"/>
    <mergeCell ref="M3:M4"/>
    <mergeCell ref="N3:N4"/>
  </mergeCells>
  <printOptions/>
  <pageMargins left="0.2361111111111111" right="0.19652777777777777" top="0.4326388888888889" bottom="0.5506944444444445" header="0.11805555555555555" footer="0.3541666666666667"/>
  <pageSetup fitToHeight="0" fitToWidth="1" horizontalDpi="600" verticalDpi="600" orientation="landscape" paperSize="9" scale="87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86"/>
  <sheetViews>
    <sheetView zoomScaleSheetLayoutView="100" workbookViewId="0" topLeftCell="A1">
      <pane xSplit="3" ySplit="3" topLeftCell="D26" activePane="bottomRight" state="frozen"/>
      <selection pane="bottomRight" activeCell="D25" sqref="D25"/>
    </sheetView>
  </sheetViews>
  <sheetFormatPr defaultColWidth="9.00390625" defaultRowHeight="19.5" customHeight="1"/>
  <cols>
    <col min="1" max="1" width="6.875" style="1" customWidth="1"/>
    <col min="2" max="2" width="39.75390625" style="1" customWidth="1"/>
    <col min="3" max="3" width="7.50390625" style="1" customWidth="1"/>
    <col min="4" max="4" width="13.125" style="1" customWidth="1"/>
    <col min="5" max="5" width="38.625" style="1" customWidth="1"/>
    <col min="6" max="6" width="26.25390625" style="5" customWidth="1"/>
    <col min="7" max="7" width="9.00390625" style="1" customWidth="1"/>
    <col min="8" max="8" width="8.875" style="1" customWidth="1"/>
    <col min="9" max="11" width="6.50390625" style="1" customWidth="1"/>
    <col min="12" max="12" width="8.50390625" style="1" customWidth="1"/>
    <col min="13" max="14" width="5.875" style="1" customWidth="1"/>
    <col min="15" max="15" width="11.875" style="1" customWidth="1"/>
    <col min="16" max="26" width="5.875" style="1" customWidth="1"/>
    <col min="27" max="27" width="10.625" style="1" bestFit="1" customWidth="1"/>
    <col min="28" max="16384" width="9.00390625" style="1" customWidth="1"/>
  </cols>
  <sheetData>
    <row r="1" spans="1:6" s="1" customFormat="1" ht="33.75" customHeight="1">
      <c r="A1" s="6" t="s">
        <v>144</v>
      </c>
      <c r="B1" s="6"/>
      <c r="C1" s="6"/>
      <c r="D1" s="6"/>
      <c r="E1" s="6"/>
      <c r="F1" s="7"/>
    </row>
    <row r="2" spans="1:6" s="1" customFormat="1" ht="19.5" customHeight="1">
      <c r="A2" s="8"/>
      <c r="B2" s="9"/>
      <c r="C2" s="9"/>
      <c r="D2" s="9"/>
      <c r="E2" s="9"/>
      <c r="F2" s="10" t="s">
        <v>145</v>
      </c>
    </row>
    <row r="3" spans="1:15" s="1" customFormat="1" ht="19.5" customHeight="1">
      <c r="A3" s="11" t="s">
        <v>19</v>
      </c>
      <c r="B3" s="12" t="s">
        <v>20</v>
      </c>
      <c r="C3" s="12" t="s">
        <v>21</v>
      </c>
      <c r="D3" s="12" t="s">
        <v>22</v>
      </c>
      <c r="E3" s="12" t="s">
        <v>146</v>
      </c>
      <c r="F3" s="13" t="s">
        <v>147</v>
      </c>
      <c r="M3" s="33">
        <v>54</v>
      </c>
      <c r="N3" s="33">
        <v>6.5</v>
      </c>
      <c r="O3" s="33">
        <v>0.15</v>
      </c>
    </row>
    <row r="4" spans="1:19" s="1" customFormat="1" ht="19.5" customHeight="1">
      <c r="A4" s="14" t="s">
        <v>25</v>
      </c>
      <c r="B4" s="15" t="s">
        <v>26</v>
      </c>
      <c r="C4" s="16"/>
      <c r="D4" s="16"/>
      <c r="E4" s="16"/>
      <c r="F4" s="17"/>
      <c r="H4" s="18"/>
      <c r="Q4" s="1">
        <v>0</v>
      </c>
      <c r="R4" s="1">
        <v>3</v>
      </c>
      <c r="S4" s="1">
        <v>6</v>
      </c>
    </row>
    <row r="5" spans="1:24" s="2" customFormat="1" ht="19.5" customHeight="1">
      <c r="A5" s="19">
        <v>1</v>
      </c>
      <c r="B5" s="20" t="s">
        <v>27</v>
      </c>
      <c r="C5" s="21" t="s">
        <v>18</v>
      </c>
      <c r="D5" s="22"/>
      <c r="E5" s="22"/>
      <c r="F5" s="23"/>
      <c r="H5" s="24"/>
      <c r="Q5" s="2">
        <v>11.5</v>
      </c>
      <c r="R5" s="2">
        <v>5.1</v>
      </c>
      <c r="S5" s="2">
        <v>9.4</v>
      </c>
      <c r="T5" s="2">
        <f aca="true" t="shared" si="0" ref="T5:T7">AVERAGE(R4:R5)</f>
        <v>4.05</v>
      </c>
      <c r="U5" s="2">
        <f aca="true" t="shared" si="1" ref="U5:U7">AVERAGE(S4:S5)</f>
        <v>7.7</v>
      </c>
      <c r="V5" s="2">
        <f aca="true" t="shared" si="2" ref="V5:V7">Q5-Q4</f>
        <v>11.5</v>
      </c>
      <c r="W5" s="2">
        <f aca="true" t="shared" si="3" ref="W5:W7">T5*V5</f>
        <v>46.574999999999996</v>
      </c>
      <c r="X5" s="2">
        <f aca="true" t="shared" si="4" ref="X5:X7">U5*V5</f>
        <v>88.55</v>
      </c>
    </row>
    <row r="6" spans="1:24" s="1" customFormat="1" ht="19.5" customHeight="1">
      <c r="A6" s="25">
        <v>1.1</v>
      </c>
      <c r="B6" s="26" t="s">
        <v>148</v>
      </c>
      <c r="C6" s="27" t="s">
        <v>29</v>
      </c>
      <c r="D6" s="28">
        <v>1</v>
      </c>
      <c r="E6" s="28">
        <v>1</v>
      </c>
      <c r="F6" s="29"/>
      <c r="H6" s="18"/>
      <c r="I6" s="1">
        <v>33</v>
      </c>
      <c r="J6" s="1">
        <v>50</v>
      </c>
      <c r="K6" s="1">
        <v>0.3</v>
      </c>
      <c r="Q6" s="1">
        <v>33.6</v>
      </c>
      <c r="R6" s="1">
        <v>5.1</v>
      </c>
      <c r="S6" s="1">
        <v>18.1</v>
      </c>
      <c r="T6" s="1">
        <f t="shared" si="0"/>
        <v>5.1</v>
      </c>
      <c r="U6" s="1">
        <f t="shared" si="1"/>
        <v>13.75</v>
      </c>
      <c r="V6" s="1">
        <f t="shared" si="2"/>
        <v>22.1</v>
      </c>
      <c r="W6" s="1">
        <f t="shared" si="3"/>
        <v>112.71</v>
      </c>
      <c r="X6" s="1">
        <f t="shared" si="4"/>
        <v>303.875</v>
      </c>
    </row>
    <row r="7" spans="1:24" s="1" customFormat="1" ht="19.5" customHeight="1">
      <c r="A7" s="25">
        <v>1.2</v>
      </c>
      <c r="B7" s="26" t="s">
        <v>149</v>
      </c>
      <c r="C7" s="30" t="s">
        <v>31</v>
      </c>
      <c r="D7" s="28">
        <v>15</v>
      </c>
      <c r="E7" s="28">
        <v>15</v>
      </c>
      <c r="F7" s="29"/>
      <c r="H7" s="18"/>
      <c r="Q7" s="1">
        <v>59.8</v>
      </c>
      <c r="R7" s="1">
        <v>4</v>
      </c>
      <c r="S7" s="1">
        <v>17.5</v>
      </c>
      <c r="T7" s="1">
        <f t="shared" si="0"/>
        <v>4.55</v>
      </c>
      <c r="U7" s="1">
        <f t="shared" si="1"/>
        <v>17.8</v>
      </c>
      <c r="V7" s="1">
        <f t="shared" si="2"/>
        <v>26.199999999999996</v>
      </c>
      <c r="W7" s="1">
        <f t="shared" si="3"/>
        <v>119.20999999999998</v>
      </c>
      <c r="X7" s="1">
        <f t="shared" si="4"/>
        <v>466.35999999999996</v>
      </c>
    </row>
    <row r="8" spans="1:10" s="1" customFormat="1" ht="19.5" customHeight="1">
      <c r="A8" s="25">
        <v>1.3</v>
      </c>
      <c r="B8" s="26" t="s">
        <v>30</v>
      </c>
      <c r="C8" s="30" t="s">
        <v>31</v>
      </c>
      <c r="D8" s="28">
        <f>I8*J8</f>
        <v>1.9</v>
      </c>
      <c r="E8" s="28" t="s">
        <v>150</v>
      </c>
      <c r="F8" s="29"/>
      <c r="I8" s="1">
        <v>0.38</v>
      </c>
      <c r="J8" s="1">
        <v>5</v>
      </c>
    </row>
    <row r="9" spans="1:10" s="1" customFormat="1" ht="19.5" customHeight="1">
      <c r="A9" s="25">
        <v>1.4</v>
      </c>
      <c r="B9" s="26" t="s">
        <v>32</v>
      </c>
      <c r="C9" s="30" t="s">
        <v>31</v>
      </c>
      <c r="D9" s="31">
        <f>I9*J9</f>
        <v>0.55</v>
      </c>
      <c r="E9" s="31" t="s">
        <v>151</v>
      </c>
      <c r="F9" s="29"/>
      <c r="H9" s="18"/>
      <c r="I9" s="1">
        <v>0.11</v>
      </c>
      <c r="J9" s="1">
        <v>5</v>
      </c>
    </row>
    <row r="10" spans="1:8" s="1" customFormat="1" ht="19.5" customHeight="1">
      <c r="A10" s="25">
        <v>1.5</v>
      </c>
      <c r="B10" s="26" t="s">
        <v>33</v>
      </c>
      <c r="C10" s="27" t="s">
        <v>29</v>
      </c>
      <c r="D10" s="28">
        <v>1</v>
      </c>
      <c r="E10" s="28">
        <v>1</v>
      </c>
      <c r="F10" s="29"/>
      <c r="H10" s="18"/>
    </row>
    <row r="11" spans="1:10" s="1" customFormat="1" ht="19.5" customHeight="1">
      <c r="A11" s="25">
        <v>1.6</v>
      </c>
      <c r="B11" s="26" t="s">
        <v>38</v>
      </c>
      <c r="C11" s="30" t="s">
        <v>31</v>
      </c>
      <c r="D11" s="28">
        <f>I11*J11</f>
        <v>14.735999999999999</v>
      </c>
      <c r="E11" s="28" t="s">
        <v>152</v>
      </c>
      <c r="F11" s="29"/>
      <c r="H11" s="18"/>
      <c r="I11" s="1">
        <v>0.24</v>
      </c>
      <c r="J11" s="1">
        <v>61.4</v>
      </c>
    </row>
    <row r="12" spans="1:15" s="1" customFormat="1" ht="19.5" customHeight="1">
      <c r="A12" s="25">
        <v>1.7</v>
      </c>
      <c r="B12" s="26" t="s">
        <v>153</v>
      </c>
      <c r="C12" s="30" t="s">
        <v>31</v>
      </c>
      <c r="D12" s="28">
        <f>H12*I12*J12*K12+M12*N12*O12</f>
        <v>26.3088</v>
      </c>
      <c r="E12" s="28" t="s">
        <v>154</v>
      </c>
      <c r="F12" s="29"/>
      <c r="H12" s="18"/>
      <c r="I12" s="1">
        <v>40.6</v>
      </c>
      <c r="J12" s="1">
        <v>0.3</v>
      </c>
      <c r="K12" s="1">
        <v>0.9</v>
      </c>
      <c r="M12" s="1">
        <v>0.18</v>
      </c>
      <c r="N12" s="1">
        <v>3.6</v>
      </c>
      <c r="O12" s="1">
        <v>40.6</v>
      </c>
    </row>
    <row r="13" spans="1:8" s="1" customFormat="1" ht="19.5" customHeight="1">
      <c r="A13" s="25">
        <v>1.8</v>
      </c>
      <c r="B13" s="26" t="s">
        <v>155</v>
      </c>
      <c r="C13" s="32" t="s">
        <v>29</v>
      </c>
      <c r="D13" s="28">
        <v>1</v>
      </c>
      <c r="E13" s="28">
        <v>1</v>
      </c>
      <c r="F13" s="29"/>
      <c r="H13" s="18"/>
    </row>
    <row r="14" spans="1:24" s="1" customFormat="1" ht="19.5" customHeight="1">
      <c r="A14" s="25">
        <v>1.9</v>
      </c>
      <c r="B14" s="33" t="s">
        <v>156</v>
      </c>
      <c r="C14" s="32" t="s">
        <v>29</v>
      </c>
      <c r="D14" s="33">
        <v>1</v>
      </c>
      <c r="E14" s="33">
        <v>1</v>
      </c>
      <c r="F14" s="29"/>
      <c r="I14" s="1">
        <v>8</v>
      </c>
      <c r="J14" s="1">
        <v>40</v>
      </c>
      <c r="K14" s="1">
        <f>I14*J14</f>
        <v>320</v>
      </c>
      <c r="Q14" s="1">
        <v>79</v>
      </c>
      <c r="R14" s="1">
        <v>3</v>
      </c>
      <c r="S14" s="1">
        <v>5</v>
      </c>
      <c r="T14" s="1">
        <f>AVERAGE(R7:R14)</f>
        <v>3.5</v>
      </c>
      <c r="U14" s="1">
        <f>AVERAGE(S7:S14)</f>
        <v>11.25</v>
      </c>
      <c r="V14" s="1">
        <f>Q14-Q7</f>
        <v>19.200000000000003</v>
      </c>
      <c r="W14" s="1">
        <f>T14*V14</f>
        <v>67.20000000000002</v>
      </c>
      <c r="X14" s="1">
        <f>U14*V14</f>
        <v>216.00000000000003</v>
      </c>
    </row>
    <row r="15" spans="1:27" s="3" customFormat="1" ht="19.5" customHeight="1">
      <c r="A15" s="19">
        <v>2</v>
      </c>
      <c r="B15" s="20" t="s">
        <v>68</v>
      </c>
      <c r="C15" s="21" t="s">
        <v>18</v>
      </c>
      <c r="D15" s="22"/>
      <c r="E15" s="22"/>
      <c r="F15" s="23"/>
      <c r="G15" s="2"/>
      <c r="H15" s="2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0" s="4" customFormat="1" ht="19.5" customHeight="1">
      <c r="A16" s="34">
        <v>2.1</v>
      </c>
      <c r="B16" s="35" t="s">
        <v>157</v>
      </c>
      <c r="C16" s="27" t="s">
        <v>29</v>
      </c>
      <c r="D16" s="28">
        <v>1</v>
      </c>
      <c r="E16" s="28">
        <v>1</v>
      </c>
      <c r="F16" s="36"/>
      <c r="H16" s="37"/>
      <c r="L16" s="53"/>
      <c r="P16" s="4">
        <f>Q16*R16</f>
        <v>205</v>
      </c>
      <c r="Q16" s="4">
        <v>20.5</v>
      </c>
      <c r="R16" s="4">
        <v>10</v>
      </c>
      <c r="T16" s="4">
        <v>11.7</v>
      </c>
    </row>
    <row r="17" spans="1:12" s="4" customFormat="1" ht="19.5" customHeight="1">
      <c r="A17" s="34">
        <v>2.2</v>
      </c>
      <c r="B17" s="26" t="s">
        <v>80</v>
      </c>
      <c r="C17" s="30" t="s">
        <v>31</v>
      </c>
      <c r="D17" s="28">
        <f>H17*I17</f>
        <v>55</v>
      </c>
      <c r="E17" s="28" t="s">
        <v>158</v>
      </c>
      <c r="F17" s="29"/>
      <c r="H17" s="1">
        <v>275</v>
      </c>
      <c r="I17" s="1">
        <v>0.2</v>
      </c>
      <c r="L17" s="53"/>
    </row>
    <row r="18" spans="1:15" s="4" customFormat="1" ht="19.5" customHeight="1">
      <c r="A18" s="34">
        <v>2.3</v>
      </c>
      <c r="B18" s="26" t="s">
        <v>81</v>
      </c>
      <c r="C18" s="30" t="s">
        <v>31</v>
      </c>
      <c r="D18" s="28">
        <f>I18*J18*K18+M18*N18*O18</f>
        <v>37.650000000000006</v>
      </c>
      <c r="E18" s="28" t="s">
        <v>159</v>
      </c>
      <c r="F18" s="29"/>
      <c r="H18" s="37"/>
      <c r="I18" s="4">
        <v>2.7</v>
      </c>
      <c r="J18" s="4">
        <v>0.2</v>
      </c>
      <c r="K18" s="4">
        <v>22.5</v>
      </c>
      <c r="L18" s="53"/>
      <c r="M18" s="4">
        <v>1.7</v>
      </c>
      <c r="N18" s="4">
        <v>0.2</v>
      </c>
      <c r="O18" s="4">
        <v>75</v>
      </c>
    </row>
    <row r="19" spans="1:12" s="4" customFormat="1" ht="19.5" customHeight="1">
      <c r="A19" s="34">
        <v>2.4</v>
      </c>
      <c r="B19" s="26" t="s">
        <v>160</v>
      </c>
      <c r="C19" s="30" t="s">
        <v>40</v>
      </c>
      <c r="D19" s="28">
        <f>H19*I19+K19*L19</f>
        <v>31.160000000000004</v>
      </c>
      <c r="E19" s="28" t="s">
        <v>161</v>
      </c>
      <c r="F19" s="29"/>
      <c r="G19" s="1"/>
      <c r="H19" s="4">
        <v>1.49</v>
      </c>
      <c r="I19" s="4">
        <v>4</v>
      </c>
      <c r="J19" s="1"/>
      <c r="K19" s="1">
        <v>2.1</v>
      </c>
      <c r="L19" s="4">
        <v>12</v>
      </c>
    </row>
    <row r="20" spans="1:11" s="4" customFormat="1" ht="19.5" customHeight="1">
      <c r="A20" s="34">
        <v>2.5</v>
      </c>
      <c r="B20" s="38" t="s">
        <v>162</v>
      </c>
      <c r="C20" s="39" t="s">
        <v>42</v>
      </c>
      <c r="D20" s="28">
        <f>H20*I20</f>
        <v>34</v>
      </c>
      <c r="E20" s="28" t="s">
        <v>163</v>
      </c>
      <c r="F20" s="29"/>
      <c r="G20" s="1"/>
      <c r="H20" s="4">
        <v>17</v>
      </c>
      <c r="I20" s="4">
        <v>2</v>
      </c>
      <c r="J20" s="1"/>
      <c r="K20" s="1"/>
    </row>
    <row r="21" spans="1:11" s="4" customFormat="1" ht="19.5" customHeight="1">
      <c r="A21" s="34">
        <v>2.6</v>
      </c>
      <c r="B21" s="38" t="s">
        <v>164</v>
      </c>
      <c r="C21" s="39" t="s">
        <v>42</v>
      </c>
      <c r="D21" s="40">
        <v>85</v>
      </c>
      <c r="E21" s="40">
        <v>85</v>
      </c>
      <c r="F21" s="29"/>
      <c r="G21" s="1"/>
      <c r="J21" s="1"/>
      <c r="K21" s="1"/>
    </row>
    <row r="22" spans="1:11" s="4" customFormat="1" ht="19.5" customHeight="1">
      <c r="A22" s="34">
        <v>2.7</v>
      </c>
      <c r="B22" s="41" t="s">
        <v>165</v>
      </c>
      <c r="C22" s="42" t="s">
        <v>42</v>
      </c>
      <c r="D22" s="40">
        <f>D21</f>
        <v>85</v>
      </c>
      <c r="E22" s="40">
        <f>E21</f>
        <v>85</v>
      </c>
      <c r="F22" s="29"/>
      <c r="G22" s="1"/>
      <c r="J22" s="1"/>
      <c r="K22" s="1"/>
    </row>
    <row r="23" spans="1:6" s="2" customFormat="1" ht="19.5" customHeight="1">
      <c r="A23" s="19">
        <v>3</v>
      </c>
      <c r="B23" s="20" t="s">
        <v>8</v>
      </c>
      <c r="C23" s="21" t="s">
        <v>18</v>
      </c>
      <c r="D23" s="22"/>
      <c r="E23" s="22"/>
      <c r="F23" s="23"/>
    </row>
    <row r="24" spans="1:6" s="1" customFormat="1" ht="19.5" customHeight="1">
      <c r="A24" s="25">
        <v>3.1</v>
      </c>
      <c r="B24" s="26" t="s">
        <v>93</v>
      </c>
      <c r="C24" s="30" t="s">
        <v>31</v>
      </c>
      <c r="D24" s="31">
        <v>125.4</v>
      </c>
      <c r="E24" s="31">
        <v>125.4</v>
      </c>
      <c r="F24" s="29"/>
    </row>
    <row r="25" spans="1:6" s="1" customFormat="1" ht="19.5" customHeight="1">
      <c r="A25" s="25">
        <v>3.2</v>
      </c>
      <c r="B25" s="26" t="s">
        <v>94</v>
      </c>
      <c r="C25" s="30" t="s">
        <v>31</v>
      </c>
      <c r="D25" s="31">
        <f>D24</f>
        <v>125.4</v>
      </c>
      <c r="E25" s="31">
        <f>E24</f>
        <v>125.4</v>
      </c>
      <c r="F25" s="29"/>
    </row>
    <row r="26" spans="1:6" s="1" customFormat="1" ht="19.5" customHeight="1">
      <c r="A26" s="25">
        <v>3.3</v>
      </c>
      <c r="B26" s="26" t="s">
        <v>95</v>
      </c>
      <c r="C26" s="30" t="s">
        <v>31</v>
      </c>
      <c r="D26" s="31">
        <v>256.4</v>
      </c>
      <c r="E26" s="31">
        <v>256.4</v>
      </c>
      <c r="F26" s="29"/>
    </row>
    <row r="27" spans="1:6" s="1" customFormat="1" ht="19.5" customHeight="1">
      <c r="A27" s="25">
        <v>3.4</v>
      </c>
      <c r="B27" s="26" t="s">
        <v>96</v>
      </c>
      <c r="C27" s="30" t="s">
        <v>31</v>
      </c>
      <c r="D27" s="31">
        <v>4.54</v>
      </c>
      <c r="E27" s="31">
        <v>4.54</v>
      </c>
      <c r="F27" s="29"/>
    </row>
    <row r="28" spans="1:6" s="1" customFormat="1" ht="19.5" customHeight="1">
      <c r="A28" s="25">
        <v>3.5</v>
      </c>
      <c r="B28" s="26" t="s">
        <v>166</v>
      </c>
      <c r="C28" s="30" t="s">
        <v>31</v>
      </c>
      <c r="D28" s="31">
        <v>2.4</v>
      </c>
      <c r="E28" s="31">
        <v>2.4</v>
      </c>
      <c r="F28" s="29"/>
    </row>
    <row r="29" spans="1:11" s="1" customFormat="1" ht="19.5" customHeight="1">
      <c r="A29" s="25">
        <v>3.6</v>
      </c>
      <c r="B29" s="26" t="s">
        <v>98</v>
      </c>
      <c r="C29" s="30" t="s">
        <v>31</v>
      </c>
      <c r="D29" s="31">
        <f>I29*J29*K29</f>
        <v>4.32</v>
      </c>
      <c r="E29" s="31" t="s">
        <v>167</v>
      </c>
      <c r="F29" s="29"/>
      <c r="I29" s="1">
        <v>18</v>
      </c>
      <c r="J29" s="1">
        <v>0.16</v>
      </c>
      <c r="K29" s="1">
        <v>1.5</v>
      </c>
    </row>
    <row r="30" spans="1:10" s="1" customFormat="1" ht="19.5" customHeight="1">
      <c r="A30" s="25">
        <v>3.7</v>
      </c>
      <c r="B30" s="26" t="s">
        <v>99</v>
      </c>
      <c r="C30" s="30" t="s">
        <v>31</v>
      </c>
      <c r="D30" s="28">
        <f>H30*I30*J30</f>
        <v>13.5</v>
      </c>
      <c r="E30" s="28" t="s">
        <v>168</v>
      </c>
      <c r="F30" s="29"/>
      <c r="H30" s="1">
        <v>0.5</v>
      </c>
      <c r="I30" s="1">
        <v>0.9</v>
      </c>
      <c r="J30" s="1">
        <v>30</v>
      </c>
    </row>
    <row r="31" spans="1:6" s="1" customFormat="1" ht="19.5" customHeight="1">
      <c r="A31" s="25">
        <v>3.8</v>
      </c>
      <c r="B31" s="26" t="s">
        <v>102</v>
      </c>
      <c r="C31" s="43" t="s">
        <v>29</v>
      </c>
      <c r="D31" s="31">
        <v>1</v>
      </c>
      <c r="E31" s="31">
        <v>1</v>
      </c>
      <c r="F31" s="29"/>
    </row>
    <row r="32" spans="1:6" s="1" customFormat="1" ht="34.5" customHeight="1">
      <c r="A32" s="25">
        <v>3.9</v>
      </c>
      <c r="B32" s="26" t="s">
        <v>169</v>
      </c>
      <c r="C32" s="43" t="s">
        <v>42</v>
      </c>
      <c r="D32" s="31">
        <v>125</v>
      </c>
      <c r="E32" s="31">
        <v>125</v>
      </c>
      <c r="F32" s="29"/>
    </row>
    <row r="33" spans="1:6" s="1" customFormat="1" ht="19.5" customHeight="1">
      <c r="A33" s="44">
        <v>3.1</v>
      </c>
      <c r="B33" s="26" t="s">
        <v>103</v>
      </c>
      <c r="C33" s="43" t="s">
        <v>42</v>
      </c>
      <c r="D33" s="28">
        <v>49</v>
      </c>
      <c r="E33" s="28">
        <v>49</v>
      </c>
      <c r="F33" s="29"/>
    </row>
    <row r="34" spans="1:6" s="1" customFormat="1" ht="19.5" customHeight="1">
      <c r="A34" s="44">
        <v>3.11</v>
      </c>
      <c r="B34" s="26" t="s">
        <v>170</v>
      </c>
      <c r="C34" s="43" t="s">
        <v>65</v>
      </c>
      <c r="D34" s="28">
        <v>2</v>
      </c>
      <c r="E34" s="28">
        <v>2</v>
      </c>
      <c r="F34" s="29"/>
    </row>
    <row r="35" spans="1:9" s="1" customFormat="1" ht="19.5" customHeight="1">
      <c r="A35" s="44">
        <v>3.12</v>
      </c>
      <c r="B35" s="26" t="s">
        <v>110</v>
      </c>
      <c r="C35" s="30" t="s">
        <v>31</v>
      </c>
      <c r="D35" s="28">
        <f>H35*I35</f>
        <v>30.87</v>
      </c>
      <c r="E35" s="28" t="s">
        <v>171</v>
      </c>
      <c r="F35" s="29"/>
      <c r="H35" s="1">
        <v>0.63</v>
      </c>
      <c r="I35" s="1">
        <v>49</v>
      </c>
    </row>
    <row r="36" spans="1:6" s="1" customFormat="1" ht="30.75" customHeight="1">
      <c r="A36" s="44">
        <v>3.13</v>
      </c>
      <c r="B36" s="26" t="s">
        <v>104</v>
      </c>
      <c r="C36" s="43" t="s">
        <v>29</v>
      </c>
      <c r="D36" s="31">
        <v>1</v>
      </c>
      <c r="E36" s="31">
        <v>1</v>
      </c>
      <c r="F36" s="29"/>
    </row>
    <row r="37" spans="1:6" s="1" customFormat="1" ht="30.75" customHeight="1">
      <c r="A37" s="44">
        <v>3.14</v>
      </c>
      <c r="B37" s="26" t="s">
        <v>106</v>
      </c>
      <c r="C37" s="45" t="s">
        <v>107</v>
      </c>
      <c r="D37" s="31">
        <v>1</v>
      </c>
      <c r="E37" s="31">
        <v>1</v>
      </c>
      <c r="F37" s="29"/>
    </row>
    <row r="38" spans="1:6" s="1" customFormat="1" ht="34.5" customHeight="1">
      <c r="A38" s="44">
        <v>3.15</v>
      </c>
      <c r="B38" s="46" t="s">
        <v>108</v>
      </c>
      <c r="C38" s="43" t="s">
        <v>35</v>
      </c>
      <c r="D38" s="33">
        <v>1</v>
      </c>
      <c r="E38" s="33">
        <v>1</v>
      </c>
      <c r="F38" s="29"/>
    </row>
    <row r="39" spans="1:6" s="1" customFormat="1" ht="34.5" customHeight="1">
      <c r="A39" s="44">
        <v>3.16</v>
      </c>
      <c r="B39" s="26" t="s">
        <v>172</v>
      </c>
      <c r="C39" s="30" t="s">
        <v>31</v>
      </c>
      <c r="D39" s="31">
        <v>2.3</v>
      </c>
      <c r="E39" s="31">
        <v>2.3</v>
      </c>
      <c r="F39" s="29"/>
    </row>
    <row r="40" spans="1:10" s="1" customFormat="1" ht="19.5" customHeight="1">
      <c r="A40" s="44">
        <v>3.17</v>
      </c>
      <c r="B40" s="26" t="s">
        <v>88</v>
      </c>
      <c r="C40" s="43" t="s">
        <v>67</v>
      </c>
      <c r="D40" s="28">
        <v>0.15</v>
      </c>
      <c r="E40" s="28">
        <v>0.15</v>
      </c>
      <c r="F40" s="29"/>
      <c r="J40" s="1">
        <v>2.64</v>
      </c>
    </row>
    <row r="41" spans="1:14" s="1" customFormat="1" ht="19.5" customHeight="1">
      <c r="A41" s="44">
        <v>3.18</v>
      </c>
      <c r="B41" s="33" t="s">
        <v>173</v>
      </c>
      <c r="C41" s="47" t="s">
        <v>174</v>
      </c>
      <c r="D41" s="31">
        <f>H41*I41*J41+L41*M41*N41</f>
        <v>54.12</v>
      </c>
      <c r="E41" s="31" t="s">
        <v>175</v>
      </c>
      <c r="F41" s="29"/>
      <c r="H41" s="1">
        <v>0.3</v>
      </c>
      <c r="I41" s="1">
        <v>0.8</v>
      </c>
      <c r="J41" s="1">
        <v>110</v>
      </c>
      <c r="L41" s="1">
        <v>1.4</v>
      </c>
      <c r="M41" s="1">
        <v>0.18</v>
      </c>
      <c r="N41" s="1">
        <v>110</v>
      </c>
    </row>
    <row r="42" spans="1:9" s="1" customFormat="1" ht="19.5" customHeight="1">
      <c r="A42" s="44">
        <v>3.19</v>
      </c>
      <c r="B42" s="26" t="s">
        <v>176</v>
      </c>
      <c r="C42" s="47" t="s">
        <v>174</v>
      </c>
      <c r="D42" s="28">
        <f aca="true" t="shared" si="5" ref="D42:D44">H42*I42</f>
        <v>134.2</v>
      </c>
      <c r="E42" s="28" t="s">
        <v>177</v>
      </c>
      <c r="F42" s="29"/>
      <c r="H42" s="1">
        <v>1.22</v>
      </c>
      <c r="I42" s="1">
        <v>110</v>
      </c>
    </row>
    <row r="43" spans="1:9" s="1" customFormat="1" ht="19.5" customHeight="1">
      <c r="A43" s="44">
        <v>3.2</v>
      </c>
      <c r="B43" s="33" t="s">
        <v>178</v>
      </c>
      <c r="C43" s="47" t="s">
        <v>174</v>
      </c>
      <c r="D43" s="31">
        <f t="shared" si="5"/>
        <v>6.45</v>
      </c>
      <c r="E43" s="31" t="s">
        <v>179</v>
      </c>
      <c r="F43" s="29"/>
      <c r="H43" s="1">
        <v>0.15</v>
      </c>
      <c r="I43" s="1">
        <v>43</v>
      </c>
    </row>
    <row r="44" spans="1:9" s="1" customFormat="1" ht="19.5" customHeight="1">
      <c r="A44" s="44">
        <v>3.21</v>
      </c>
      <c r="B44" s="48" t="s">
        <v>32</v>
      </c>
      <c r="C44" s="47" t="s">
        <v>174</v>
      </c>
      <c r="D44" s="31">
        <f t="shared" si="5"/>
        <v>4.3</v>
      </c>
      <c r="E44" s="31" t="s">
        <v>180</v>
      </c>
      <c r="F44" s="29"/>
      <c r="H44" s="1">
        <v>0.1</v>
      </c>
      <c r="I44" s="1">
        <v>43</v>
      </c>
    </row>
    <row r="45" spans="1:6" s="1" customFormat="1" ht="19.5" customHeight="1">
      <c r="A45" s="44">
        <v>3.22</v>
      </c>
      <c r="B45" s="1" t="s">
        <v>181</v>
      </c>
      <c r="C45" s="49" t="s">
        <v>42</v>
      </c>
      <c r="D45" s="1">
        <v>4</v>
      </c>
      <c r="E45" s="1">
        <v>4</v>
      </c>
      <c r="F45" s="29"/>
    </row>
    <row r="46" spans="1:6" s="2" customFormat="1" ht="19.5" customHeight="1">
      <c r="A46" s="19">
        <v>4</v>
      </c>
      <c r="B46" s="50" t="s">
        <v>182</v>
      </c>
      <c r="C46" s="51"/>
      <c r="D46" s="22"/>
      <c r="E46" s="22"/>
      <c r="F46" s="23"/>
    </row>
    <row r="47" spans="1:6" s="1" customFormat="1" ht="19.5" customHeight="1">
      <c r="A47" s="25">
        <v>4.1</v>
      </c>
      <c r="B47" s="33" t="s">
        <v>183</v>
      </c>
      <c r="C47" s="52" t="s">
        <v>29</v>
      </c>
      <c r="D47" s="31">
        <v>1</v>
      </c>
      <c r="E47" s="31">
        <v>1</v>
      </c>
      <c r="F47" s="29"/>
    </row>
    <row r="48" spans="1:6" s="1" customFormat="1" ht="19.5" customHeight="1">
      <c r="A48" s="25">
        <v>4.2</v>
      </c>
      <c r="B48" s="33" t="s">
        <v>184</v>
      </c>
      <c r="C48" s="47" t="s">
        <v>185</v>
      </c>
      <c r="D48" s="31">
        <v>570</v>
      </c>
      <c r="E48" s="31">
        <v>570</v>
      </c>
      <c r="F48" s="29"/>
    </row>
    <row r="49" spans="1:6" s="1" customFormat="1" ht="19.5" customHeight="1">
      <c r="A49" s="25">
        <v>4.3</v>
      </c>
      <c r="B49" s="33" t="s">
        <v>186</v>
      </c>
      <c r="C49" s="47" t="s">
        <v>174</v>
      </c>
      <c r="D49" s="31">
        <v>30.6</v>
      </c>
      <c r="E49" s="31">
        <v>30.6</v>
      </c>
      <c r="F49" s="29"/>
    </row>
    <row r="50" spans="1:6" s="1" customFormat="1" ht="19.5" customHeight="1">
      <c r="A50" s="25">
        <v>4.4</v>
      </c>
      <c r="B50" s="33" t="s">
        <v>187</v>
      </c>
      <c r="C50" s="47" t="s">
        <v>188</v>
      </c>
      <c r="D50" s="31">
        <v>6.5</v>
      </c>
      <c r="E50" s="31">
        <v>6.5</v>
      </c>
      <c r="F50" s="29"/>
    </row>
    <row r="51" spans="1:6" s="1" customFormat="1" ht="19.5" customHeight="1">
      <c r="A51" s="25">
        <v>4.5</v>
      </c>
      <c r="B51" s="33" t="s">
        <v>189</v>
      </c>
      <c r="C51" s="47" t="s">
        <v>185</v>
      </c>
      <c r="D51" s="31">
        <v>120</v>
      </c>
      <c r="E51" s="31">
        <v>120</v>
      </c>
      <c r="F51" s="29"/>
    </row>
    <row r="52" spans="1:6" s="1" customFormat="1" ht="19.5" customHeight="1">
      <c r="A52" s="25">
        <v>4.6</v>
      </c>
      <c r="B52" s="33" t="s">
        <v>190</v>
      </c>
      <c r="C52" s="47" t="s">
        <v>185</v>
      </c>
      <c r="D52" s="31">
        <v>120</v>
      </c>
      <c r="E52" s="31">
        <v>120</v>
      </c>
      <c r="F52" s="29"/>
    </row>
    <row r="53" spans="1:6" s="1" customFormat="1" ht="19.5" customHeight="1">
      <c r="A53" s="25">
        <v>4.7</v>
      </c>
      <c r="B53" s="33" t="s">
        <v>191</v>
      </c>
      <c r="C53" s="47" t="s">
        <v>185</v>
      </c>
      <c r="D53" s="31">
        <v>120</v>
      </c>
      <c r="E53" s="31">
        <v>120</v>
      </c>
      <c r="F53" s="29"/>
    </row>
    <row r="54" spans="1:6" s="1" customFormat="1" ht="19.5" customHeight="1">
      <c r="A54" s="25">
        <v>4.8</v>
      </c>
      <c r="B54" s="33" t="s">
        <v>192</v>
      </c>
      <c r="C54" s="47" t="s">
        <v>42</v>
      </c>
      <c r="D54" s="31">
        <v>600</v>
      </c>
      <c r="E54" s="31">
        <v>600</v>
      </c>
      <c r="F54" s="29"/>
    </row>
    <row r="55" spans="1:6" s="1" customFormat="1" ht="19.5" customHeight="1">
      <c r="A55" s="25">
        <v>4.9</v>
      </c>
      <c r="B55" s="33" t="s">
        <v>193</v>
      </c>
      <c r="C55" s="47" t="s">
        <v>188</v>
      </c>
      <c r="D55" s="31">
        <v>0.24</v>
      </c>
      <c r="E55" s="31">
        <v>0.24</v>
      </c>
      <c r="F55" s="29"/>
    </row>
    <row r="56" spans="1:6" s="1" customFormat="1" ht="19.5" customHeight="1">
      <c r="A56" s="44">
        <v>4.1</v>
      </c>
      <c r="B56" s="33" t="s">
        <v>194</v>
      </c>
      <c r="C56" s="47" t="s">
        <v>42</v>
      </c>
      <c r="D56" s="31">
        <v>65</v>
      </c>
      <c r="E56" s="31">
        <v>65</v>
      </c>
      <c r="F56" s="29"/>
    </row>
    <row r="57" spans="1:6" s="1" customFormat="1" ht="19.5" customHeight="1">
      <c r="A57" s="44">
        <v>4.11</v>
      </c>
      <c r="B57" s="33" t="s">
        <v>195</v>
      </c>
      <c r="C57" s="47" t="s">
        <v>42</v>
      </c>
      <c r="D57" s="31">
        <v>295</v>
      </c>
      <c r="E57" s="31">
        <v>295</v>
      </c>
      <c r="F57" s="29"/>
    </row>
    <row r="58" spans="1:9" s="1" customFormat="1" ht="19.5" customHeight="1">
      <c r="A58" s="44">
        <v>4.12</v>
      </c>
      <c r="B58" s="33" t="s">
        <v>196</v>
      </c>
      <c r="C58" s="47" t="s">
        <v>185</v>
      </c>
      <c r="D58" s="31">
        <f>H58*I58</f>
        <v>67.5</v>
      </c>
      <c r="E58" s="31">
        <f>I58*J58</f>
        <v>0</v>
      </c>
      <c r="F58" s="29"/>
      <c r="H58" s="1">
        <v>450</v>
      </c>
      <c r="I58" s="1">
        <v>0.15</v>
      </c>
    </row>
    <row r="59" spans="1:6" s="1" customFormat="1" ht="36" customHeight="1">
      <c r="A59" s="44">
        <v>4.13</v>
      </c>
      <c r="B59" s="33" t="s">
        <v>197</v>
      </c>
      <c r="C59" s="47" t="s">
        <v>42</v>
      </c>
      <c r="D59" s="31">
        <v>900</v>
      </c>
      <c r="E59" s="31">
        <v>900</v>
      </c>
      <c r="F59" s="29"/>
    </row>
    <row r="60" spans="1:6" s="1" customFormat="1" ht="19.5" customHeight="1">
      <c r="A60" s="44">
        <v>4.14</v>
      </c>
      <c r="B60" s="33" t="s">
        <v>198</v>
      </c>
      <c r="C60" s="47" t="s">
        <v>174</v>
      </c>
      <c r="D60" s="31">
        <v>58.75</v>
      </c>
      <c r="E60" s="31">
        <v>58.75</v>
      </c>
      <c r="F60" s="29"/>
    </row>
    <row r="61" spans="1:6" s="1" customFormat="1" ht="19.5" customHeight="1">
      <c r="A61" s="44">
        <v>4.15</v>
      </c>
      <c r="B61" s="33" t="s">
        <v>199</v>
      </c>
      <c r="C61" s="47" t="s">
        <v>185</v>
      </c>
      <c r="D61" s="31">
        <v>142.5</v>
      </c>
      <c r="E61" s="31">
        <v>142.5</v>
      </c>
      <c r="F61" s="29"/>
    </row>
    <row r="62" spans="1:6" s="2" customFormat="1" ht="19.5" customHeight="1">
      <c r="A62" s="19">
        <v>5</v>
      </c>
      <c r="B62" s="20" t="s">
        <v>9</v>
      </c>
      <c r="C62" s="21" t="s">
        <v>18</v>
      </c>
      <c r="D62" s="22"/>
      <c r="E62" s="22"/>
      <c r="F62" s="23"/>
    </row>
    <row r="63" spans="1:6" s="1" customFormat="1" ht="19.5" customHeight="1">
      <c r="A63" s="25">
        <v>5.1</v>
      </c>
      <c r="B63" s="26" t="s">
        <v>127</v>
      </c>
      <c r="C63" s="43" t="s">
        <v>29</v>
      </c>
      <c r="D63" s="31">
        <v>1</v>
      </c>
      <c r="E63" s="31">
        <v>1</v>
      </c>
      <c r="F63" s="29"/>
    </row>
    <row r="64" spans="1:6" s="1" customFormat="1" ht="19.5" customHeight="1">
      <c r="A64" s="25">
        <v>5.2</v>
      </c>
      <c r="B64" s="26" t="s">
        <v>200</v>
      </c>
      <c r="C64" s="43" t="s">
        <v>29</v>
      </c>
      <c r="D64" s="31">
        <v>1</v>
      </c>
      <c r="E64" s="31">
        <v>1</v>
      </c>
      <c r="F64" s="29"/>
    </row>
    <row r="65" spans="1:9" s="1" customFormat="1" ht="19.5" customHeight="1">
      <c r="A65" s="25">
        <v>5.3</v>
      </c>
      <c r="B65" s="26" t="s">
        <v>128</v>
      </c>
      <c r="C65" s="30" t="s">
        <v>40</v>
      </c>
      <c r="D65" s="28">
        <f>H65*I65</f>
        <v>10.497600000000002</v>
      </c>
      <c r="E65" s="28" t="s">
        <v>201</v>
      </c>
      <c r="F65" s="29"/>
      <c r="H65" s="1">
        <v>3.24</v>
      </c>
      <c r="I65" s="1">
        <v>3.24</v>
      </c>
    </row>
    <row r="66" spans="1:6" s="1" customFormat="1" ht="19.5" customHeight="1">
      <c r="A66" s="25">
        <v>5.4</v>
      </c>
      <c r="B66" s="26" t="s">
        <v>129</v>
      </c>
      <c r="C66" s="43" t="s">
        <v>29</v>
      </c>
      <c r="D66" s="28">
        <v>1</v>
      </c>
      <c r="E66" s="28">
        <v>1</v>
      </c>
      <c r="F66" s="29"/>
    </row>
    <row r="67" spans="1:6" s="1" customFormat="1" ht="19.5" customHeight="1">
      <c r="A67" s="25">
        <v>5.5</v>
      </c>
      <c r="B67" s="26" t="s">
        <v>130</v>
      </c>
      <c r="C67" s="43" t="s">
        <v>65</v>
      </c>
      <c r="D67" s="28">
        <v>4</v>
      </c>
      <c r="E67" s="28">
        <v>4</v>
      </c>
      <c r="F67" s="29"/>
    </row>
    <row r="68" spans="1:6" s="1" customFormat="1" ht="19.5" customHeight="1">
      <c r="A68" s="25">
        <v>5.6</v>
      </c>
      <c r="B68" s="26" t="s">
        <v>131</v>
      </c>
      <c r="C68" s="27" t="s">
        <v>29</v>
      </c>
      <c r="D68" s="28">
        <v>2</v>
      </c>
      <c r="E68" s="28">
        <v>2</v>
      </c>
      <c r="F68" s="29"/>
    </row>
    <row r="69" spans="1:6" s="1" customFormat="1" ht="19.5" customHeight="1">
      <c r="A69" s="25">
        <v>5.7</v>
      </c>
      <c r="B69" s="26" t="s">
        <v>202</v>
      </c>
      <c r="C69" s="30" t="s">
        <v>40</v>
      </c>
      <c r="D69" s="29">
        <v>4</v>
      </c>
      <c r="E69" s="29">
        <v>4</v>
      </c>
      <c r="F69" s="29"/>
    </row>
    <row r="70" spans="1:6" s="1" customFormat="1" ht="19.5" customHeight="1">
      <c r="A70" s="25">
        <v>5.8</v>
      </c>
      <c r="B70" s="26" t="s">
        <v>203</v>
      </c>
      <c r="C70" s="30" t="s">
        <v>31</v>
      </c>
      <c r="D70" s="31">
        <v>1000</v>
      </c>
      <c r="E70" s="31">
        <v>1000</v>
      </c>
      <c r="F70" s="29"/>
    </row>
    <row r="71" spans="1:8" s="1" customFormat="1" ht="19.5" customHeight="1">
      <c r="A71" s="54" t="s">
        <v>135</v>
      </c>
      <c r="B71" s="55" t="s">
        <v>10</v>
      </c>
      <c r="C71" s="56" t="s">
        <v>18</v>
      </c>
      <c r="D71" s="55"/>
      <c r="E71" s="55"/>
      <c r="F71" s="57"/>
      <c r="H71" s="58"/>
    </row>
    <row r="72" spans="1:8" s="1" customFormat="1" ht="19.5" customHeight="1">
      <c r="A72" s="59">
        <v>1</v>
      </c>
      <c r="B72" s="60" t="s">
        <v>204</v>
      </c>
      <c r="C72" s="56" t="s">
        <v>18</v>
      </c>
      <c r="D72" s="28">
        <f>F4</f>
        <v>0</v>
      </c>
      <c r="E72" s="28">
        <f>G4</f>
        <v>0</v>
      </c>
      <c r="F72" s="29"/>
      <c r="H72" s="58"/>
    </row>
    <row r="73" spans="1:6" s="1" customFormat="1" ht="19.5" customHeight="1">
      <c r="A73" s="54" t="s">
        <v>14</v>
      </c>
      <c r="B73" s="55" t="s">
        <v>137</v>
      </c>
      <c r="C73" s="56" t="s">
        <v>18</v>
      </c>
      <c r="D73" s="55"/>
      <c r="E73" s="55"/>
      <c r="F73" s="17"/>
    </row>
    <row r="74" spans="1:6" s="1" customFormat="1" ht="19.5" customHeight="1">
      <c r="A74" s="59">
        <v>1</v>
      </c>
      <c r="B74" s="60" t="s">
        <v>205</v>
      </c>
      <c r="C74" s="56" t="s">
        <v>18</v>
      </c>
      <c r="D74" s="28">
        <f>D72+F72</f>
        <v>0</v>
      </c>
      <c r="E74" s="28">
        <f>E72+G72</f>
        <v>0</v>
      </c>
      <c r="F74" s="29"/>
    </row>
    <row r="75" spans="1:6" s="1" customFormat="1" ht="19.5" customHeight="1">
      <c r="A75" s="59" t="s">
        <v>15</v>
      </c>
      <c r="B75" s="55" t="s">
        <v>139</v>
      </c>
      <c r="C75" s="56" t="s">
        <v>18</v>
      </c>
      <c r="D75" s="28"/>
      <c r="E75" s="28"/>
      <c r="F75" s="17"/>
    </row>
    <row r="76" spans="1:6" s="1" customFormat="1" ht="19.5" customHeight="1">
      <c r="A76" s="59">
        <v>1</v>
      </c>
      <c r="B76" s="60" t="s">
        <v>206</v>
      </c>
      <c r="C76" s="56" t="s">
        <v>18</v>
      </c>
      <c r="D76" s="28">
        <f>D74</f>
        <v>0</v>
      </c>
      <c r="E76" s="28">
        <f>E74</f>
        <v>0</v>
      </c>
      <c r="F76" s="29"/>
    </row>
    <row r="77" spans="1:6" s="1" customFormat="1" ht="19.5" customHeight="1">
      <c r="A77" s="61" t="s">
        <v>142</v>
      </c>
      <c r="B77" s="62" t="s">
        <v>143</v>
      </c>
      <c r="C77" s="63" t="s">
        <v>18</v>
      </c>
      <c r="D77" s="64"/>
      <c r="E77" s="64"/>
      <c r="F77" s="65"/>
    </row>
    <row r="78" s="1" customFormat="1" ht="19.5" customHeight="1">
      <c r="F78" s="5"/>
    </row>
    <row r="79" spans="2:6" s="1" customFormat="1" ht="19.5" customHeight="1">
      <c r="B79" s="66" t="s">
        <v>207</v>
      </c>
      <c r="F79" s="5"/>
    </row>
    <row r="80" spans="2:6" s="1" customFormat="1" ht="19.5" customHeight="1">
      <c r="B80" s="67" t="s">
        <v>57</v>
      </c>
      <c r="C80" s="68" t="s">
        <v>208</v>
      </c>
      <c r="D80" s="69">
        <f>110*2*0.3*0.3</f>
        <v>19.8</v>
      </c>
      <c r="E80" s="69" t="s">
        <v>209</v>
      </c>
      <c r="F80" s="70"/>
    </row>
    <row r="81" spans="2:6" s="1" customFormat="1" ht="19.5" customHeight="1">
      <c r="B81" s="67" t="s">
        <v>210</v>
      </c>
      <c r="C81" s="68" t="s">
        <v>208</v>
      </c>
      <c r="D81" s="69">
        <f>110*2*0.3*0.3</f>
        <v>19.8</v>
      </c>
      <c r="E81" s="69" t="s">
        <v>209</v>
      </c>
      <c r="F81" s="70"/>
    </row>
    <row r="82" spans="2:6" s="1" customFormat="1" ht="19.5" customHeight="1">
      <c r="B82" s="67" t="s">
        <v>211</v>
      </c>
      <c r="C82" s="68" t="s">
        <v>208</v>
      </c>
      <c r="D82" s="71">
        <f>0.15*3.4*110</f>
        <v>56.1</v>
      </c>
      <c r="E82" s="72" t="s">
        <v>212</v>
      </c>
      <c r="F82" s="70"/>
    </row>
    <row r="83" spans="2:11" s="1" customFormat="1" ht="19.5" customHeight="1">
      <c r="B83" s="67" t="s">
        <v>213</v>
      </c>
      <c r="C83" s="68" t="s">
        <v>208</v>
      </c>
      <c r="D83" s="71">
        <f>0.1*3.4*110</f>
        <v>37.400000000000006</v>
      </c>
      <c r="E83" s="72" t="s">
        <v>214</v>
      </c>
      <c r="F83" s="70"/>
      <c r="H83" s="73"/>
      <c r="I83" s="76" t="s">
        <v>215</v>
      </c>
      <c r="J83" s="77" t="s">
        <v>216</v>
      </c>
      <c r="K83" s="77" t="s">
        <v>217</v>
      </c>
    </row>
    <row r="84" spans="2:11" s="1" customFormat="1" ht="19.5" customHeight="1">
      <c r="B84" s="67" t="s">
        <v>218</v>
      </c>
      <c r="C84" s="68" t="s">
        <v>219</v>
      </c>
      <c r="D84" s="69">
        <f>110*3.4</f>
        <v>374</v>
      </c>
      <c r="E84" s="69" t="s">
        <v>220</v>
      </c>
      <c r="F84" s="70"/>
      <c r="H84" s="74" t="s">
        <v>221</v>
      </c>
      <c r="I84" s="33">
        <v>90.43</v>
      </c>
      <c r="J84" s="33">
        <v>1.6</v>
      </c>
      <c r="K84" s="33">
        <f aca="true" t="shared" si="6" ref="K84:K86">I84*J84</f>
        <v>144.68800000000002</v>
      </c>
    </row>
    <row r="85" spans="6:11" s="1" customFormat="1" ht="19.5" customHeight="1">
      <c r="F85" s="5"/>
      <c r="H85" s="74" t="s">
        <v>222</v>
      </c>
      <c r="I85" s="33">
        <v>134</v>
      </c>
      <c r="J85" s="33">
        <v>1.4</v>
      </c>
      <c r="K85" s="33">
        <f t="shared" si="6"/>
        <v>187.6</v>
      </c>
    </row>
    <row r="86" spans="6:11" s="1" customFormat="1" ht="19.5" customHeight="1">
      <c r="F86" s="5"/>
      <c r="H86" s="75" t="s">
        <v>223</v>
      </c>
      <c r="I86" s="78">
        <v>72.82</v>
      </c>
      <c r="J86" s="78">
        <v>1.7</v>
      </c>
      <c r="K86" s="78">
        <f t="shared" si="6"/>
        <v>123.79399999999998</v>
      </c>
    </row>
  </sheetData>
  <sheetProtection/>
  <mergeCells count="2">
    <mergeCell ref="A1:F1"/>
    <mergeCell ref="A2:E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༄のDAN</cp:lastModifiedBy>
  <dcterms:created xsi:type="dcterms:W3CDTF">2014-06-27T08:59:35Z</dcterms:created>
  <dcterms:modified xsi:type="dcterms:W3CDTF">2023-05-23T11:30:59Z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47B94B2A5FB74A729DDFFAE6DD5EDBE4</vt:lpwstr>
  </property>
  <property fmtid="{D5CDD505-2E9C-101B-9397-08002B2CF9AE}" pid="5" name="KSOReadingLayo">
    <vt:bool>true</vt:bool>
  </property>
</Properties>
</file>